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chenry\OneDrive - HDR, Inc\Project Files\Raymore BUILD Grant\FREEVAL\"/>
    </mc:Choice>
  </mc:AlternateContent>
  <bookViews>
    <workbookView xWindow="0" yWindow="0" windowWidth="28800" windowHeight="13020"/>
  </bookViews>
  <sheets>
    <sheet name="Rate Calculations &amp; PHF" sheetId="1" r:id="rId1"/>
    <sheet name="FREEVAL INPUT 2017 Hourly" sheetId="2" r:id="rId2"/>
    <sheet name="FREEVAL INPUT 2020 Hourly" sheetId="18" r:id="rId3"/>
    <sheet name="FREEVAL INPUT 2023 Hourly" sheetId="20" r:id="rId4"/>
    <sheet name="FREEVAL INPUT 2045 Hourly" sheetId="21" r:id="rId5"/>
    <sheet name="FREEVAL INPUT 2020 15-Minute" sheetId="19" r:id="rId6"/>
    <sheet name="FREEVAL INPUT 2023 15-Minut" sheetId="22" r:id="rId7"/>
    <sheet name="FREEVAL INPUT 2045 15-Minute" sheetId="23" r:id="rId8"/>
    <sheet name="019-010295-3" sheetId="3" r:id="rId9"/>
    <sheet name="019-010154-3" sheetId="5" r:id="rId10"/>
    <sheet name="019-010155-3" sheetId="4" r:id="rId11"/>
    <sheet name="019-009882-1" sheetId="6" r:id="rId12"/>
    <sheet name="019-009790-2" sheetId="7" r:id="rId13"/>
    <sheet name="019-009733-2" sheetId="8" r:id="rId14"/>
    <sheet name="019-009732-4" sheetId="9" r:id="rId15"/>
    <sheet name="019-000592-1" sheetId="10" r:id="rId16"/>
    <sheet name="019-000591-1" sheetId="11" r:id="rId17"/>
    <sheet name="019-000590-3" sheetId="12" r:id="rId18"/>
    <sheet name="019-000589-3" sheetId="13" r:id="rId19"/>
    <sheet name="019-000177-3" sheetId="14" r:id="rId20"/>
    <sheet name="019-000177-1" sheetId="15" r:id="rId21"/>
    <sheet name="019-010398-2" sheetId="1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N80" i="1"/>
  <c r="N76" i="1"/>
  <c r="N75" i="1"/>
  <c r="N74" i="1"/>
  <c r="N82" i="1"/>
  <c r="N70" i="1"/>
  <c r="N69" i="1"/>
  <c r="N68" i="1"/>
  <c r="M82" i="1"/>
  <c r="M81" i="1"/>
  <c r="M80" i="1"/>
  <c r="M76" i="1"/>
  <c r="M75" i="1"/>
  <c r="M74" i="1"/>
  <c r="O74" i="1"/>
  <c r="M70" i="1"/>
  <c r="M69" i="1"/>
  <c r="M68" i="1"/>
  <c r="O80" i="1"/>
  <c r="O68" i="1"/>
  <c r="N61" i="1"/>
  <c r="N62" i="1"/>
  <c r="N63" i="1"/>
  <c r="M63" i="1"/>
  <c r="M62" i="1"/>
  <c r="M61" i="1"/>
  <c r="O61" i="1"/>
  <c r="N56" i="1"/>
  <c r="M56" i="1"/>
  <c r="N55" i="1"/>
  <c r="M55" i="1"/>
  <c r="M54" i="1"/>
  <c r="N54" i="1"/>
  <c r="O54" i="1"/>
  <c r="N47" i="1"/>
  <c r="N48" i="1"/>
  <c r="N49" i="1"/>
  <c r="M49" i="1"/>
  <c r="M48" i="1"/>
  <c r="M47" i="1"/>
  <c r="O47" i="1"/>
  <c r="N40" i="1"/>
  <c r="N41" i="1"/>
  <c r="N42" i="1"/>
  <c r="M42" i="1"/>
  <c r="M41" i="1"/>
  <c r="M40" i="1"/>
  <c r="N33" i="1"/>
  <c r="N34" i="1"/>
  <c r="N35" i="1"/>
  <c r="M35" i="1"/>
  <c r="M34" i="1"/>
  <c r="M33" i="1"/>
  <c r="M21" i="1"/>
  <c r="N21" i="1"/>
  <c r="O40" i="1"/>
  <c r="O33" i="1"/>
  <c r="B55" i="21" l="1"/>
  <c r="B46" i="21"/>
  <c r="B14" i="21"/>
  <c r="S14" i="21"/>
  <c r="Q14" i="21"/>
  <c r="M14" i="21"/>
  <c r="K14" i="21"/>
  <c r="I14" i="21"/>
  <c r="G14" i="21"/>
  <c r="F14" i="21"/>
  <c r="F46" i="20"/>
  <c r="H46" i="20" s="1"/>
  <c r="J46" i="20" s="1"/>
  <c r="L46" i="20" s="1"/>
  <c r="N46" i="20" s="1"/>
  <c r="P46" i="20" s="1"/>
  <c r="R46" i="20" s="1"/>
  <c r="I14" i="20"/>
  <c r="K14" i="20" s="1"/>
  <c r="M14" i="20" s="1"/>
  <c r="O14" i="20" s="1"/>
  <c r="Q14" i="20" s="1"/>
  <c r="S14" i="20" s="1"/>
  <c r="D14" i="20"/>
  <c r="J46" i="18"/>
  <c r="D46" i="18"/>
  <c r="Q14" i="18"/>
  <c r="J55" i="1" l="1"/>
  <c r="I55" i="1"/>
  <c r="J38" i="1"/>
  <c r="I38" i="1"/>
  <c r="J21" i="1"/>
  <c r="I21" i="1"/>
  <c r="J65" i="1" l="1"/>
  <c r="I65" i="1"/>
  <c r="J64" i="1"/>
  <c r="I64" i="1"/>
  <c r="J63" i="1"/>
  <c r="I63" i="1"/>
  <c r="J62" i="1"/>
  <c r="I61" i="1"/>
  <c r="J60" i="1"/>
  <c r="I60" i="1"/>
  <c r="J59" i="1"/>
  <c r="I59" i="1"/>
  <c r="J58" i="1"/>
  <c r="I57" i="1"/>
  <c r="J56" i="1"/>
  <c r="I56" i="1"/>
  <c r="I58" i="1"/>
  <c r="J57" i="1"/>
  <c r="J48" i="1"/>
  <c r="I48" i="1"/>
  <c r="J47" i="1"/>
  <c r="I47" i="1"/>
  <c r="J46" i="1"/>
  <c r="I46" i="1"/>
  <c r="J45" i="1"/>
  <c r="I44" i="1"/>
  <c r="J43" i="1"/>
  <c r="I43" i="1"/>
  <c r="J42" i="1"/>
  <c r="I42" i="1"/>
  <c r="J41" i="1"/>
  <c r="I41" i="1"/>
  <c r="J40" i="1"/>
  <c r="I40" i="1"/>
  <c r="J39" i="1"/>
  <c r="I39" i="1"/>
  <c r="B4" i="21" l="1"/>
  <c r="B4" i="20"/>
  <c r="N22" i="1" l="1"/>
  <c r="O22" i="1"/>
  <c r="O25" i="1" s="1"/>
  <c r="N24" i="1"/>
  <c r="M24" i="1"/>
  <c r="N23" i="1"/>
  <c r="M23" i="1"/>
  <c r="M22" i="1"/>
  <c r="I31" i="1"/>
  <c r="J31" i="1"/>
  <c r="J30" i="1"/>
  <c r="I30" i="1"/>
  <c r="J29" i="1"/>
  <c r="I29" i="1"/>
  <c r="J28" i="1"/>
  <c r="I27" i="1"/>
  <c r="J26" i="1"/>
  <c r="I26" i="1"/>
  <c r="J25" i="1"/>
  <c r="I25" i="1"/>
  <c r="J24" i="1"/>
  <c r="I24" i="1"/>
  <c r="J23" i="1"/>
  <c r="I23" i="1"/>
  <c r="J22" i="1"/>
  <c r="I22" i="1"/>
  <c r="D33" i="1"/>
  <c r="B33" i="1"/>
  <c r="D31" i="1"/>
  <c r="B31" i="1"/>
  <c r="D30" i="1"/>
  <c r="B28" i="1"/>
  <c r="D26" i="1"/>
  <c r="B26" i="1"/>
  <c r="D24" i="1"/>
  <c r="B24" i="1"/>
  <c r="D22" i="1"/>
  <c r="B22" i="1"/>
  <c r="M25" i="1" l="1"/>
  <c r="N25" i="1"/>
  <c r="N61" i="2"/>
  <c r="L61" i="2"/>
  <c r="J61" i="2"/>
  <c r="H61" i="2"/>
  <c r="G61" i="2"/>
  <c r="F61" i="2"/>
  <c r="D61" i="2"/>
  <c r="N60" i="2"/>
  <c r="L60" i="2"/>
  <c r="J60" i="2"/>
  <c r="H60" i="2"/>
  <c r="G60" i="2"/>
  <c r="F60" i="2"/>
  <c r="D60" i="2"/>
  <c r="N59" i="2"/>
  <c r="L59" i="2"/>
  <c r="J59" i="2"/>
  <c r="H59" i="2"/>
  <c r="G59" i="2"/>
  <c r="F59" i="2"/>
  <c r="D59" i="2"/>
  <c r="N58" i="2"/>
  <c r="L58" i="2"/>
  <c r="J58" i="2"/>
  <c r="H58" i="2"/>
  <c r="G58" i="2"/>
  <c r="F58" i="2"/>
  <c r="D58" i="2"/>
  <c r="N57" i="2"/>
  <c r="L57" i="2"/>
  <c r="J57" i="2"/>
  <c r="H57" i="2"/>
  <c r="G57" i="2"/>
  <c r="E57" i="2" s="1"/>
  <c r="F57" i="2"/>
  <c r="D57" i="2"/>
  <c r="N56" i="2"/>
  <c r="L56" i="2"/>
  <c r="J56" i="2"/>
  <c r="H56" i="2"/>
  <c r="G56" i="2"/>
  <c r="F56" i="2"/>
  <c r="D56" i="2"/>
  <c r="N55" i="2"/>
  <c r="L55" i="2"/>
  <c r="J55" i="2"/>
  <c r="H55" i="2"/>
  <c r="G55" i="2"/>
  <c r="F55" i="2"/>
  <c r="D55" i="2"/>
  <c r="N54" i="2"/>
  <c r="L54" i="2"/>
  <c r="J54" i="2"/>
  <c r="H54" i="2"/>
  <c r="G54" i="2"/>
  <c r="F54" i="2"/>
  <c r="D54" i="2"/>
  <c r="N53" i="2"/>
  <c r="L53" i="2"/>
  <c r="J53" i="2"/>
  <c r="H53" i="2"/>
  <c r="G53" i="2"/>
  <c r="F53" i="2"/>
  <c r="E53" i="2" s="1"/>
  <c r="D53" i="2"/>
  <c r="N52" i="2"/>
  <c r="L52" i="2"/>
  <c r="J52" i="2"/>
  <c r="H52" i="2"/>
  <c r="G52" i="2"/>
  <c r="F52" i="2"/>
  <c r="E52" i="2" s="1"/>
  <c r="D52" i="2"/>
  <c r="N51" i="2"/>
  <c r="L51" i="2"/>
  <c r="J51" i="2"/>
  <c r="H51" i="2"/>
  <c r="G51" i="2"/>
  <c r="I51" i="2" s="1"/>
  <c r="K51" i="2" s="1"/>
  <c r="F51" i="2"/>
  <c r="D51" i="2"/>
  <c r="N50" i="2"/>
  <c r="L50" i="2"/>
  <c r="J50" i="2"/>
  <c r="H50" i="2"/>
  <c r="G50" i="2"/>
  <c r="F50" i="2"/>
  <c r="D50" i="2"/>
  <c r="N49" i="2"/>
  <c r="L49" i="2"/>
  <c r="J49" i="2"/>
  <c r="H49" i="2"/>
  <c r="G49" i="2"/>
  <c r="F49" i="2"/>
  <c r="D49" i="2"/>
  <c r="N48" i="2"/>
  <c r="L48" i="2"/>
  <c r="J48" i="2"/>
  <c r="H48" i="2"/>
  <c r="G48" i="2"/>
  <c r="F48" i="2"/>
  <c r="D48" i="2"/>
  <c r="N47" i="2"/>
  <c r="L47" i="2"/>
  <c r="J47" i="2"/>
  <c r="H47" i="2"/>
  <c r="G47" i="2"/>
  <c r="F47" i="2"/>
  <c r="D47" i="2"/>
  <c r="N46" i="2"/>
  <c r="L46" i="2"/>
  <c r="J46" i="2"/>
  <c r="H46" i="2"/>
  <c r="G46" i="2"/>
  <c r="F46" i="2"/>
  <c r="D46" i="2"/>
  <c r="N45" i="2"/>
  <c r="L45" i="2"/>
  <c r="J45" i="2"/>
  <c r="H45" i="2"/>
  <c r="G45" i="2"/>
  <c r="E45" i="2" s="1"/>
  <c r="F45" i="2"/>
  <c r="D45" i="2"/>
  <c r="N44" i="2"/>
  <c r="L44" i="2"/>
  <c r="J44" i="2"/>
  <c r="H44" i="2"/>
  <c r="G44" i="2"/>
  <c r="F44" i="2"/>
  <c r="D44" i="2"/>
  <c r="N43" i="2"/>
  <c r="L43" i="2"/>
  <c r="J43" i="2"/>
  <c r="H43" i="2"/>
  <c r="G43" i="2"/>
  <c r="F43" i="2"/>
  <c r="D43" i="2"/>
  <c r="N42" i="2"/>
  <c r="L42" i="2"/>
  <c r="J42" i="2"/>
  <c r="H42" i="2"/>
  <c r="G42" i="2"/>
  <c r="F42" i="2"/>
  <c r="D42" i="2"/>
  <c r="N41" i="2"/>
  <c r="L41" i="2"/>
  <c r="J41" i="2"/>
  <c r="H41" i="2"/>
  <c r="G41" i="2"/>
  <c r="F41" i="2"/>
  <c r="D41" i="2"/>
  <c r="N40" i="2"/>
  <c r="L40" i="2"/>
  <c r="J40" i="2"/>
  <c r="H40" i="2"/>
  <c r="G40" i="2"/>
  <c r="F40" i="2"/>
  <c r="D40" i="2"/>
  <c r="N39" i="2"/>
  <c r="L39" i="2"/>
  <c r="J39" i="2"/>
  <c r="H39" i="2"/>
  <c r="G39" i="2"/>
  <c r="F39" i="2"/>
  <c r="D39" i="2"/>
  <c r="N38" i="2"/>
  <c r="L38" i="2"/>
  <c r="J38" i="2"/>
  <c r="H38" i="2"/>
  <c r="G38" i="2"/>
  <c r="F38" i="2"/>
  <c r="D38" i="2"/>
  <c r="Q30" i="2"/>
  <c r="O30" i="2"/>
  <c r="N30" i="2"/>
  <c r="M30" i="2"/>
  <c r="K30" i="2"/>
  <c r="I30" i="2"/>
  <c r="G30" i="2"/>
  <c r="Q29" i="2"/>
  <c r="O29" i="2"/>
  <c r="N29" i="2"/>
  <c r="M29" i="2"/>
  <c r="K29" i="2"/>
  <c r="I29" i="2"/>
  <c r="G29" i="2"/>
  <c r="Q28" i="2"/>
  <c r="O28" i="2"/>
  <c r="N28" i="2"/>
  <c r="M28" i="2"/>
  <c r="L28" i="2" s="1"/>
  <c r="K28" i="2"/>
  <c r="I28" i="2"/>
  <c r="G28" i="2"/>
  <c r="Q27" i="2"/>
  <c r="O27" i="2"/>
  <c r="N27" i="2"/>
  <c r="M27" i="2"/>
  <c r="K27" i="2"/>
  <c r="I27" i="2"/>
  <c r="G27" i="2"/>
  <c r="Q26" i="2"/>
  <c r="O26" i="2"/>
  <c r="N26" i="2"/>
  <c r="M26" i="2"/>
  <c r="K26" i="2"/>
  <c r="I26" i="2"/>
  <c r="G26" i="2"/>
  <c r="Q25" i="2"/>
  <c r="O25" i="2"/>
  <c r="N25" i="2"/>
  <c r="M25" i="2"/>
  <c r="K25" i="2"/>
  <c r="I25" i="2"/>
  <c r="G25" i="2"/>
  <c r="Q24" i="2"/>
  <c r="O24" i="2"/>
  <c r="N24" i="2"/>
  <c r="M24" i="2"/>
  <c r="K24" i="2"/>
  <c r="I24" i="2"/>
  <c r="G24" i="2"/>
  <c r="Q23" i="2"/>
  <c r="O23" i="2"/>
  <c r="N23" i="2"/>
  <c r="M23" i="2"/>
  <c r="K23" i="2"/>
  <c r="I23" i="2"/>
  <c r="G23" i="2"/>
  <c r="Q22" i="2"/>
  <c r="O22" i="2"/>
  <c r="N22" i="2"/>
  <c r="M22" i="2"/>
  <c r="K22" i="2"/>
  <c r="I22" i="2"/>
  <c r="G22" i="2"/>
  <c r="Q21" i="2"/>
  <c r="O21" i="2"/>
  <c r="N21" i="2"/>
  <c r="M21" i="2"/>
  <c r="K21" i="2"/>
  <c r="I21" i="2"/>
  <c r="G21" i="2"/>
  <c r="Q20" i="2"/>
  <c r="O20" i="2"/>
  <c r="N20" i="2"/>
  <c r="M20" i="2"/>
  <c r="K20" i="2"/>
  <c r="I20" i="2"/>
  <c r="G20" i="2"/>
  <c r="Q19" i="2"/>
  <c r="O19" i="2"/>
  <c r="N19" i="2"/>
  <c r="M19" i="2"/>
  <c r="K19" i="2"/>
  <c r="I19" i="2"/>
  <c r="G19" i="2"/>
  <c r="Q18" i="2"/>
  <c r="O18" i="2"/>
  <c r="N18" i="2"/>
  <c r="M18" i="2"/>
  <c r="K18" i="2"/>
  <c r="I18" i="2"/>
  <c r="G18" i="2"/>
  <c r="Q17" i="2"/>
  <c r="O17" i="2"/>
  <c r="N17" i="2"/>
  <c r="M17" i="2"/>
  <c r="K17" i="2"/>
  <c r="I17" i="2"/>
  <c r="G17" i="2"/>
  <c r="Q16" i="2"/>
  <c r="O16" i="2"/>
  <c r="N16" i="2"/>
  <c r="P16" i="2" s="1"/>
  <c r="M16" i="2"/>
  <c r="K16" i="2"/>
  <c r="I16" i="2"/>
  <c r="G16" i="2"/>
  <c r="Q15" i="2"/>
  <c r="O15" i="2"/>
  <c r="N15" i="2"/>
  <c r="M15" i="2"/>
  <c r="K15" i="2"/>
  <c r="I15" i="2"/>
  <c r="G15" i="2"/>
  <c r="Q14" i="2"/>
  <c r="O14" i="2"/>
  <c r="N14" i="2"/>
  <c r="M14" i="2"/>
  <c r="K14" i="2"/>
  <c r="I14" i="2"/>
  <c r="G14" i="2"/>
  <c r="Q13" i="2"/>
  <c r="O13" i="2"/>
  <c r="N13" i="2"/>
  <c r="M13" i="2"/>
  <c r="K13" i="2"/>
  <c r="I13" i="2"/>
  <c r="G13" i="2"/>
  <c r="Q12" i="2"/>
  <c r="O12" i="2"/>
  <c r="N12" i="2"/>
  <c r="M12" i="2"/>
  <c r="K12" i="2"/>
  <c r="I12" i="2"/>
  <c r="G12" i="2"/>
  <c r="Q11" i="2"/>
  <c r="O11" i="2"/>
  <c r="N11" i="2"/>
  <c r="M11" i="2"/>
  <c r="K11" i="2"/>
  <c r="I11" i="2"/>
  <c r="G11" i="2"/>
  <c r="Q10" i="2"/>
  <c r="O10" i="2"/>
  <c r="N10" i="2"/>
  <c r="M10" i="2"/>
  <c r="K10" i="2"/>
  <c r="I10" i="2"/>
  <c r="G10" i="2"/>
  <c r="Q9" i="2"/>
  <c r="O9" i="2"/>
  <c r="N9" i="2"/>
  <c r="M9" i="2"/>
  <c r="K9" i="2"/>
  <c r="I9" i="2"/>
  <c r="G9" i="2"/>
  <c r="Q8" i="2"/>
  <c r="O8" i="2"/>
  <c r="N8" i="2"/>
  <c r="M8" i="2"/>
  <c r="K8" i="2"/>
  <c r="I8" i="2"/>
  <c r="G8" i="2"/>
  <c r="Q7" i="2"/>
  <c r="O7" i="2"/>
  <c r="N7" i="2"/>
  <c r="M7" i="2"/>
  <c r="K7" i="2"/>
  <c r="I7" i="2"/>
  <c r="G7" i="2"/>
  <c r="D32" i="1"/>
  <c r="B32" i="1"/>
  <c r="D27" i="1"/>
  <c r="B27" i="1"/>
  <c r="D23" i="1"/>
  <c r="B23" i="1"/>
  <c r="R16" i="1"/>
  <c r="P16" i="1"/>
  <c r="I16" i="1"/>
  <c r="G16" i="1"/>
  <c r="S15" i="1"/>
  <c r="Q15" i="1"/>
  <c r="O15" i="1"/>
  <c r="J15" i="1"/>
  <c r="H15" i="1"/>
  <c r="F15" i="1"/>
  <c r="R14" i="1"/>
  <c r="P14" i="1"/>
  <c r="I14" i="1"/>
  <c r="G14" i="1"/>
  <c r="R13" i="1"/>
  <c r="P13" i="1"/>
  <c r="N13" i="1" s="1"/>
  <c r="M13" i="1" s="1"/>
  <c r="I13" i="1"/>
  <c r="G13" i="1"/>
  <c r="R12" i="1"/>
  <c r="P12" i="1"/>
  <c r="I12" i="1"/>
  <c r="G12" i="1"/>
  <c r="S11" i="1"/>
  <c r="S9" i="1" s="1"/>
  <c r="S7" i="1" s="1"/>
  <c r="S5" i="1" s="1"/>
  <c r="Q11" i="1"/>
  <c r="R11" i="1" s="1"/>
  <c r="O11" i="1"/>
  <c r="J11" i="1"/>
  <c r="H11" i="1"/>
  <c r="F11" i="1"/>
  <c r="F9" i="1" s="1"/>
  <c r="F7" i="1" s="1"/>
  <c r="F5" i="1" s="1"/>
  <c r="R10" i="1"/>
  <c r="P10" i="1"/>
  <c r="I10" i="1"/>
  <c r="G10" i="1"/>
  <c r="AY20" i="1"/>
  <c r="AX24" i="1" s="1"/>
  <c r="R8" i="1"/>
  <c r="P8" i="1"/>
  <c r="I8" i="1"/>
  <c r="G8" i="1"/>
  <c r="R6" i="1"/>
  <c r="P6" i="1"/>
  <c r="I6" i="1"/>
  <c r="G6" i="1"/>
  <c r="AE12" i="1"/>
  <c r="AE8" i="1"/>
  <c r="BB9" i="1"/>
  <c r="BB8" i="1"/>
  <c r="BB7" i="1"/>
  <c r="BB6" i="1"/>
  <c r="P15" i="1" l="1"/>
  <c r="K16" i="1"/>
  <c r="L16" i="1" s="1"/>
  <c r="K14" i="1"/>
  <c r="L14" i="1" s="1"/>
  <c r="N16" i="1"/>
  <c r="M16" i="1" s="1"/>
  <c r="K10" i="1"/>
  <c r="L10" i="1" s="1"/>
  <c r="N12" i="1"/>
  <c r="M12" i="1" s="1"/>
  <c r="P13" i="2"/>
  <c r="P12" i="2"/>
  <c r="R12" i="2" s="1"/>
  <c r="L14" i="2"/>
  <c r="J14" i="2" s="1"/>
  <c r="H14" i="2" s="1"/>
  <c r="F14" i="2" s="1"/>
  <c r="E14" i="2" s="1"/>
  <c r="C14" i="2" s="1"/>
  <c r="P11" i="2"/>
  <c r="R11" i="2" s="1"/>
  <c r="I44" i="2"/>
  <c r="K44" i="2" s="1"/>
  <c r="M44" i="2" s="1"/>
  <c r="O44" i="2" s="1"/>
  <c r="Q44" i="2" s="1"/>
  <c r="I49" i="2"/>
  <c r="E61" i="2"/>
  <c r="P24" i="2"/>
  <c r="R24" i="2" s="1"/>
  <c r="E40" i="2"/>
  <c r="C40" i="2" s="1"/>
  <c r="A40" i="2" s="1"/>
  <c r="I50" i="2"/>
  <c r="K50" i="2" s="1"/>
  <c r="M50" i="2" s="1"/>
  <c r="O50" i="2" s="1"/>
  <c r="Q50" i="2" s="1"/>
  <c r="L22" i="2"/>
  <c r="J22" i="2" s="1"/>
  <c r="H22" i="2" s="1"/>
  <c r="F22" i="2" s="1"/>
  <c r="L10" i="2"/>
  <c r="L16" i="2"/>
  <c r="E47" i="2"/>
  <c r="C47" i="2" s="1"/>
  <c r="E59" i="2"/>
  <c r="C59" i="2" s="1"/>
  <c r="A59" i="2" s="1"/>
  <c r="K49" i="2"/>
  <c r="M49" i="2" s="1"/>
  <c r="O49" i="2" s="1"/>
  <c r="Q49" i="2" s="1"/>
  <c r="L25" i="2"/>
  <c r="P30" i="2"/>
  <c r="R30" i="2" s="1"/>
  <c r="I39" i="2"/>
  <c r="K39" i="2" s="1"/>
  <c r="M39" i="2" s="1"/>
  <c r="O39" i="2" s="1"/>
  <c r="Q39" i="2" s="1"/>
  <c r="I61" i="2"/>
  <c r="K61" i="2" s="1"/>
  <c r="M61" i="2" s="1"/>
  <c r="O61" i="2" s="1"/>
  <c r="Q61" i="2" s="1"/>
  <c r="R16" i="2"/>
  <c r="P26" i="2"/>
  <c r="R26" i="2" s="1"/>
  <c r="J28" i="2"/>
  <c r="H28" i="2" s="1"/>
  <c r="F28" i="2" s="1"/>
  <c r="E28" i="2" s="1"/>
  <c r="C28" i="2" s="1"/>
  <c r="L26" i="2"/>
  <c r="J26" i="2" s="1"/>
  <c r="H26" i="2" s="1"/>
  <c r="F26" i="2" s="1"/>
  <c r="E26" i="2" s="1"/>
  <c r="C26" i="2" s="1"/>
  <c r="P23" i="2"/>
  <c r="R23" i="2" s="1"/>
  <c r="P28" i="2"/>
  <c r="R28" i="2" s="1"/>
  <c r="I52" i="2"/>
  <c r="K52" i="2" s="1"/>
  <c r="M52" i="2" s="1"/>
  <c r="O52" i="2" s="1"/>
  <c r="Q52" i="2" s="1"/>
  <c r="E60" i="2"/>
  <c r="C60" i="2" s="1"/>
  <c r="P18" i="2"/>
  <c r="R18" i="2" s="1"/>
  <c r="E39" i="2"/>
  <c r="C39" i="2" s="1"/>
  <c r="E49" i="2"/>
  <c r="C49" i="2" s="1"/>
  <c r="A49" i="2" s="1"/>
  <c r="I59" i="2"/>
  <c r="K59" i="2" s="1"/>
  <c r="M59" i="2" s="1"/>
  <c r="O59" i="2" s="1"/>
  <c r="Q59" i="2" s="1"/>
  <c r="P10" i="2"/>
  <c r="R10" i="2" s="1"/>
  <c r="L12" i="2"/>
  <c r="J12" i="2" s="1"/>
  <c r="H12" i="2" s="1"/>
  <c r="F12" i="2" s="1"/>
  <c r="P25" i="2"/>
  <c r="R25" i="2" s="1"/>
  <c r="I56" i="2"/>
  <c r="K56" i="2" s="1"/>
  <c r="M56" i="2" s="1"/>
  <c r="O56" i="2" s="1"/>
  <c r="Q56" i="2" s="1"/>
  <c r="M51" i="2"/>
  <c r="O51" i="2" s="1"/>
  <c r="Q51" i="2" s="1"/>
  <c r="L24" i="2"/>
  <c r="J24" i="2" s="1"/>
  <c r="H24" i="2" s="1"/>
  <c r="F24" i="2" s="1"/>
  <c r="E24" i="2" s="1"/>
  <c r="C24" i="2" s="1"/>
  <c r="L15" i="2"/>
  <c r="J15" i="2" s="1"/>
  <c r="H15" i="2" s="1"/>
  <c r="F15" i="2" s="1"/>
  <c r="I43" i="2"/>
  <c r="K43" i="2" s="1"/>
  <c r="M43" i="2" s="1"/>
  <c r="O43" i="2" s="1"/>
  <c r="Q43" i="2" s="1"/>
  <c r="E48" i="2"/>
  <c r="C48" i="2" s="1"/>
  <c r="I58" i="2"/>
  <c r="K58" i="2" s="1"/>
  <c r="M58" i="2" s="1"/>
  <c r="O58" i="2" s="1"/>
  <c r="Q58" i="2" s="1"/>
  <c r="E55" i="2"/>
  <c r="C55" i="2" s="1"/>
  <c r="L19" i="2"/>
  <c r="J19" i="2" s="1"/>
  <c r="H19" i="2" s="1"/>
  <c r="F19" i="2" s="1"/>
  <c r="E19" i="2" s="1"/>
  <c r="C19" i="2" s="1"/>
  <c r="J10" i="2"/>
  <c r="H10" i="2" s="1"/>
  <c r="F10" i="2" s="1"/>
  <c r="E10" i="2" s="1"/>
  <c r="C10" i="2" s="1"/>
  <c r="L13" i="2"/>
  <c r="J13" i="2" s="1"/>
  <c r="H13" i="2" s="1"/>
  <c r="F13" i="2" s="1"/>
  <c r="E13" i="2" s="1"/>
  <c r="C13" i="2" s="1"/>
  <c r="L18" i="2"/>
  <c r="J18" i="2" s="1"/>
  <c r="H18" i="2" s="1"/>
  <c r="F18" i="2" s="1"/>
  <c r="E18" i="2" s="1"/>
  <c r="C18" i="2" s="1"/>
  <c r="P29" i="2"/>
  <c r="R29" i="2" s="1"/>
  <c r="I41" i="2"/>
  <c r="K41" i="2" s="1"/>
  <c r="M41" i="2" s="1"/>
  <c r="O41" i="2" s="1"/>
  <c r="Q41" i="2" s="1"/>
  <c r="E43" i="2"/>
  <c r="C43" i="2" s="1"/>
  <c r="E46" i="2"/>
  <c r="C46" i="2" s="1"/>
  <c r="A46" i="2" s="1"/>
  <c r="E54" i="2"/>
  <c r="C54" i="2" s="1"/>
  <c r="I57" i="2"/>
  <c r="K57" i="2" s="1"/>
  <c r="M57" i="2" s="1"/>
  <c r="O57" i="2" s="1"/>
  <c r="Q57" i="2" s="1"/>
  <c r="P14" i="2"/>
  <c r="R14" i="2" s="1"/>
  <c r="L27" i="2"/>
  <c r="J27" i="2" s="1"/>
  <c r="H27" i="2" s="1"/>
  <c r="F27" i="2" s="1"/>
  <c r="P22" i="2"/>
  <c r="R22" i="2" s="1"/>
  <c r="L8" i="2"/>
  <c r="J8" i="2" s="1"/>
  <c r="H8" i="2" s="1"/>
  <c r="F8" i="2" s="1"/>
  <c r="E8" i="2" s="1"/>
  <c r="C8" i="2" s="1"/>
  <c r="P19" i="2"/>
  <c r="R19" i="2" s="1"/>
  <c r="I55" i="2"/>
  <c r="K55" i="2" s="1"/>
  <c r="M55" i="2" s="1"/>
  <c r="O55" i="2" s="1"/>
  <c r="Q55" i="2" s="1"/>
  <c r="P8" i="2"/>
  <c r="R8" i="2" s="1"/>
  <c r="L21" i="2"/>
  <c r="J21" i="2" s="1"/>
  <c r="H21" i="2" s="1"/>
  <c r="F21" i="2" s="1"/>
  <c r="E41" i="2"/>
  <c r="C41" i="2" s="1"/>
  <c r="A41" i="2" s="1"/>
  <c r="R13" i="2"/>
  <c r="I38" i="2"/>
  <c r="K38" i="2" s="1"/>
  <c r="M38" i="2" s="1"/>
  <c r="O38" i="2" s="1"/>
  <c r="Q38" i="2" s="1"/>
  <c r="I46" i="2"/>
  <c r="K46" i="2" s="1"/>
  <c r="M46" i="2" s="1"/>
  <c r="O46" i="2" s="1"/>
  <c r="Q46" i="2" s="1"/>
  <c r="E51" i="2"/>
  <c r="C51" i="2" s="1"/>
  <c r="L7" i="2"/>
  <c r="J7" i="2" s="1"/>
  <c r="H7" i="2" s="1"/>
  <c r="F7" i="2" s="1"/>
  <c r="C61" i="2"/>
  <c r="C45" i="2"/>
  <c r="C53" i="2"/>
  <c r="P7" i="2"/>
  <c r="R7" i="2" s="1"/>
  <c r="L20" i="2"/>
  <c r="J20" i="2" s="1"/>
  <c r="H20" i="2" s="1"/>
  <c r="F20" i="2" s="1"/>
  <c r="E20" i="2" s="1"/>
  <c r="C20" i="2" s="1"/>
  <c r="L9" i="2"/>
  <c r="J9" i="2" s="1"/>
  <c r="H9" i="2" s="1"/>
  <c r="F9" i="2" s="1"/>
  <c r="P20" i="2"/>
  <c r="R20" i="2" s="1"/>
  <c r="J25" i="2"/>
  <c r="H25" i="2" s="1"/>
  <c r="F25" i="2" s="1"/>
  <c r="E25" i="2" s="1"/>
  <c r="C25" i="2" s="1"/>
  <c r="I40" i="2"/>
  <c r="K40" i="2" s="1"/>
  <c r="M40" i="2" s="1"/>
  <c r="O40" i="2" s="1"/>
  <c r="Q40" i="2" s="1"/>
  <c r="P17" i="2"/>
  <c r="R17" i="2" s="1"/>
  <c r="L30" i="2"/>
  <c r="J30" i="2" s="1"/>
  <c r="H30" i="2" s="1"/>
  <c r="F30" i="2" s="1"/>
  <c r="E30" i="2" s="1"/>
  <c r="C30" i="2" s="1"/>
  <c r="E42" i="2"/>
  <c r="C42" i="2" s="1"/>
  <c r="I45" i="2"/>
  <c r="K45" i="2" s="1"/>
  <c r="M45" i="2" s="1"/>
  <c r="O45" i="2" s="1"/>
  <c r="Q45" i="2" s="1"/>
  <c r="I53" i="2"/>
  <c r="K53" i="2" s="1"/>
  <c r="M53" i="2" s="1"/>
  <c r="O53" i="2" s="1"/>
  <c r="Q53" i="2" s="1"/>
  <c r="E58" i="2"/>
  <c r="C58" i="2" s="1"/>
  <c r="A58" i="2" s="1"/>
  <c r="J16" i="2"/>
  <c r="H16" i="2" s="1"/>
  <c r="F16" i="2" s="1"/>
  <c r="I47" i="2"/>
  <c r="K47" i="2" s="1"/>
  <c r="M47" i="2" s="1"/>
  <c r="O47" i="2" s="1"/>
  <c r="Q47" i="2" s="1"/>
  <c r="C52" i="2"/>
  <c r="C57" i="2"/>
  <c r="A57" i="2"/>
  <c r="P9" i="2"/>
  <c r="R9" i="2" s="1"/>
  <c r="L11" i="2"/>
  <c r="J11" i="2" s="1"/>
  <c r="H11" i="2" s="1"/>
  <c r="F11" i="2" s="1"/>
  <c r="E11" i="2" s="1"/>
  <c r="C11" i="2" s="1"/>
  <c r="P15" i="2"/>
  <c r="R15" i="2" s="1"/>
  <c r="L17" i="2"/>
  <c r="J17" i="2" s="1"/>
  <c r="H17" i="2" s="1"/>
  <c r="F17" i="2" s="1"/>
  <c r="E17" i="2" s="1"/>
  <c r="C17" i="2" s="1"/>
  <c r="P21" i="2"/>
  <c r="R21" i="2" s="1"/>
  <c r="L23" i="2"/>
  <c r="P27" i="2"/>
  <c r="R27" i="2" s="1"/>
  <c r="L29" i="2"/>
  <c r="J29" i="2" s="1"/>
  <c r="H29" i="2" s="1"/>
  <c r="F29" i="2" s="1"/>
  <c r="E29" i="2" s="1"/>
  <c r="C29" i="2" s="1"/>
  <c r="E38" i="2"/>
  <c r="C38" i="2" s="1"/>
  <c r="I42" i="2"/>
  <c r="K42" i="2" s="1"/>
  <c r="M42" i="2" s="1"/>
  <c r="O42" i="2" s="1"/>
  <c r="Q42" i="2" s="1"/>
  <c r="E44" i="2"/>
  <c r="C44" i="2" s="1"/>
  <c r="I48" i="2"/>
  <c r="K48" i="2" s="1"/>
  <c r="M48" i="2" s="1"/>
  <c r="O48" i="2" s="1"/>
  <c r="Q48" i="2" s="1"/>
  <c r="E50" i="2"/>
  <c r="C50" i="2" s="1"/>
  <c r="I54" i="2"/>
  <c r="K54" i="2" s="1"/>
  <c r="M54" i="2" s="1"/>
  <c r="O54" i="2" s="1"/>
  <c r="Q54" i="2" s="1"/>
  <c r="E56" i="2"/>
  <c r="C56" i="2" s="1"/>
  <c r="I60" i="2"/>
  <c r="K60" i="2" s="1"/>
  <c r="M60" i="2" s="1"/>
  <c r="O60" i="2" s="1"/>
  <c r="Q60" i="2" s="1"/>
  <c r="I11" i="1"/>
  <c r="K6" i="1"/>
  <c r="L6" i="1" s="1"/>
  <c r="N6" i="1"/>
  <c r="M6" i="1" s="1"/>
  <c r="R15" i="1"/>
  <c r="N15" i="1" s="1"/>
  <c r="M15" i="1" s="1"/>
  <c r="K12" i="1"/>
  <c r="L12" i="1" s="1"/>
  <c r="K8" i="1"/>
  <c r="L8" i="1" s="1"/>
  <c r="K13" i="1"/>
  <c r="L13" i="1" s="1"/>
  <c r="N14" i="1"/>
  <c r="M14" i="1" s="1"/>
  <c r="P11" i="1"/>
  <c r="N11" i="1" s="1"/>
  <c r="M11" i="1" s="1"/>
  <c r="N10" i="1"/>
  <c r="M10" i="1" s="1"/>
  <c r="Z14" i="1"/>
  <c r="N8" i="1"/>
  <c r="M8" i="1" s="1"/>
  <c r="G11" i="1"/>
  <c r="K11" i="1" s="1"/>
  <c r="L11" i="1" s="1"/>
  <c r="G15" i="1"/>
  <c r="J9" i="1"/>
  <c r="J7" i="1" s="1"/>
  <c r="J5" i="1" s="1"/>
  <c r="I15" i="1"/>
  <c r="Q9" i="1"/>
  <c r="AX23" i="1"/>
  <c r="AZ24" i="1"/>
  <c r="AY24" i="1"/>
  <c r="AX25" i="1"/>
  <c r="AX22" i="1"/>
  <c r="O9" i="1"/>
  <c r="H9" i="1"/>
  <c r="A27" i="2" l="1"/>
  <c r="A7" i="2"/>
  <c r="A39" i="2"/>
  <c r="A38" i="2"/>
  <c r="A43" i="2"/>
  <c r="A42" i="2"/>
  <c r="A61" i="2"/>
  <c r="E12" i="2"/>
  <c r="C12" i="2" s="1"/>
  <c r="A12" i="2"/>
  <c r="E21" i="2"/>
  <c r="C21" i="2" s="1"/>
  <c r="A45" i="2"/>
  <c r="A44" i="2"/>
  <c r="A47" i="2"/>
  <c r="E22" i="2"/>
  <c r="C22" i="2" s="1"/>
  <c r="A60" i="2"/>
  <c r="A50" i="2"/>
  <c r="E15" i="2"/>
  <c r="C15" i="2" s="1"/>
  <c r="E7" i="2"/>
  <c r="C7" i="2" s="1"/>
  <c r="A51" i="2"/>
  <c r="E27" i="2"/>
  <c r="C27" i="2" s="1"/>
  <c r="E16" i="2"/>
  <c r="C16" i="2" s="1"/>
  <c r="E9" i="2"/>
  <c r="C9" i="2" s="1"/>
  <c r="A28" i="2"/>
  <c r="A29" i="2"/>
  <c r="A53" i="2"/>
  <c r="A55" i="2"/>
  <c r="A30" i="2"/>
  <c r="A17" i="2"/>
  <c r="A48" i="2"/>
  <c r="A8" i="2"/>
  <c r="A18" i="2"/>
  <c r="A9" i="2"/>
  <c r="A52" i="2"/>
  <c r="A25" i="2"/>
  <c r="A13" i="2"/>
  <c r="A11" i="2"/>
  <c r="A10" i="2"/>
  <c r="A56" i="2"/>
  <c r="A24" i="2"/>
  <c r="A19" i="2"/>
  <c r="A16" i="2"/>
  <c r="A20" i="2"/>
  <c r="A26" i="2"/>
  <c r="A14" i="2"/>
  <c r="A22" i="2"/>
  <c r="B4" i="18"/>
  <c r="J23" i="2"/>
  <c r="A15" i="2"/>
  <c r="A54" i="2"/>
  <c r="A21" i="2"/>
  <c r="Q7" i="1"/>
  <c r="R9" i="1"/>
  <c r="K15" i="1"/>
  <c r="L15" i="1" s="1"/>
  <c r="AZ22" i="1"/>
  <c r="AY22" i="1"/>
  <c r="BB22" i="1" s="1"/>
  <c r="AZ25" i="1"/>
  <c r="AY25" i="1"/>
  <c r="H7" i="1"/>
  <c r="G9" i="1"/>
  <c r="AZ23" i="1"/>
  <c r="AY23" i="1"/>
  <c r="P9" i="1"/>
  <c r="O7" i="1"/>
  <c r="I9" i="1"/>
  <c r="N9" i="1" l="1"/>
  <c r="M9" i="1" s="1"/>
  <c r="Q42" i="18"/>
  <c r="Q54" i="18"/>
  <c r="Q43" i="18"/>
  <c r="Q44" i="18"/>
  <c r="Q56" i="18"/>
  <c r="Q52" i="18"/>
  <c r="Q45" i="18"/>
  <c r="Q57" i="18"/>
  <c r="Q59" i="18"/>
  <c r="Q53" i="18"/>
  <c r="Q58" i="18"/>
  <c r="Q47" i="18"/>
  <c r="Q49" i="18"/>
  <c r="Q62" i="18"/>
  <c r="Q39" i="18"/>
  <c r="Q41" i="18"/>
  <c r="Q48" i="18"/>
  <c r="Q60" i="18"/>
  <c r="Q61" i="18"/>
  <c r="Q50" i="18"/>
  <c r="Q51" i="18"/>
  <c r="Q40" i="18"/>
  <c r="R40" i="18"/>
  <c r="R52" i="18"/>
  <c r="R54" i="18"/>
  <c r="R41" i="18"/>
  <c r="R53" i="18"/>
  <c r="R42" i="18"/>
  <c r="R39" i="18"/>
  <c r="R43" i="18"/>
  <c r="R44" i="18"/>
  <c r="R56" i="18"/>
  <c r="R50" i="18"/>
  <c r="R51" i="18"/>
  <c r="R45" i="18"/>
  <c r="R57" i="18"/>
  <c r="R58" i="18"/>
  <c r="R60" i="18"/>
  <c r="R47" i="18"/>
  <c r="R59" i="18"/>
  <c r="R49" i="18"/>
  <c r="R62" i="18"/>
  <c r="R48" i="18"/>
  <c r="R61" i="18"/>
  <c r="F9" i="18"/>
  <c r="D13" i="18"/>
  <c r="D25" i="18"/>
  <c r="E13" i="18"/>
  <c r="E25" i="18"/>
  <c r="D14" i="18"/>
  <c r="D26" i="18"/>
  <c r="E26" i="18"/>
  <c r="D29" i="18"/>
  <c r="E29" i="18"/>
  <c r="E18" i="18"/>
  <c r="E8" i="18"/>
  <c r="D21" i="18"/>
  <c r="E21" i="18"/>
  <c r="D22" i="18"/>
  <c r="E10" i="18"/>
  <c r="D12" i="18"/>
  <c r="D15" i="18"/>
  <c r="D27" i="18"/>
  <c r="E15" i="18"/>
  <c r="E27" i="18"/>
  <c r="D16" i="18"/>
  <c r="D28" i="18"/>
  <c r="E16" i="18"/>
  <c r="E28" i="18"/>
  <c r="D17" i="18"/>
  <c r="E17" i="18"/>
  <c r="D18" i="18"/>
  <c r="D30" i="18"/>
  <c r="E30" i="18"/>
  <c r="E9" i="18"/>
  <c r="D11" i="18"/>
  <c r="E12" i="18"/>
  <c r="D19" i="18"/>
  <c r="D7" i="18"/>
  <c r="E19" i="18"/>
  <c r="E7" i="18"/>
  <c r="D8" i="18"/>
  <c r="D20" i="18"/>
  <c r="E20" i="18"/>
  <c r="D9" i="18"/>
  <c r="D10" i="18"/>
  <c r="E22" i="18"/>
  <c r="E11" i="18"/>
  <c r="D24" i="18"/>
  <c r="E24" i="18"/>
  <c r="F24" i="18"/>
  <c r="F7" i="18"/>
  <c r="F29" i="18"/>
  <c r="F21" i="18"/>
  <c r="F18" i="18"/>
  <c r="F12" i="18"/>
  <c r="F10" i="18"/>
  <c r="F28" i="18"/>
  <c r="F15" i="18"/>
  <c r="F8" i="18"/>
  <c r="F26" i="18"/>
  <c r="F11" i="18"/>
  <c r="S18" i="18"/>
  <c r="S18" i="20" s="1"/>
  <c r="F14" i="18"/>
  <c r="F17" i="18"/>
  <c r="F22" i="18"/>
  <c r="F20" i="18"/>
  <c r="F13" i="18"/>
  <c r="F16" i="18"/>
  <c r="J30" i="18"/>
  <c r="J30" i="21" s="1"/>
  <c r="F30" i="18"/>
  <c r="F25" i="18"/>
  <c r="F27" i="18"/>
  <c r="F19" i="18"/>
  <c r="N56" i="18"/>
  <c r="M58" i="19" s="1"/>
  <c r="G8" i="18"/>
  <c r="M13" i="18"/>
  <c r="L9" i="19" s="1"/>
  <c r="E41" i="18"/>
  <c r="E41" i="20" s="1"/>
  <c r="J51" i="18"/>
  <c r="J51" i="20" s="1"/>
  <c r="Q25" i="18"/>
  <c r="J60" i="18"/>
  <c r="J60" i="21" s="1"/>
  <c r="I58" i="18"/>
  <c r="I58" i="20" s="1"/>
  <c r="G9" i="18"/>
  <c r="P47" i="18"/>
  <c r="O47" i="19" s="1"/>
  <c r="E59" i="18"/>
  <c r="E59" i="21" s="1"/>
  <c r="H58" i="18"/>
  <c r="H58" i="21" s="1"/>
  <c r="H24" i="18"/>
  <c r="G27" i="19" s="1"/>
  <c r="P9" i="18"/>
  <c r="H40" i="18"/>
  <c r="H40" i="20" s="1"/>
  <c r="P52" i="18"/>
  <c r="P52" i="21" s="1"/>
  <c r="O27" i="18"/>
  <c r="K60" i="18"/>
  <c r="K60" i="21" s="1"/>
  <c r="L54" i="18"/>
  <c r="K52" i="19" s="1"/>
  <c r="K18" i="18"/>
  <c r="R17" i="18"/>
  <c r="K25" i="18"/>
  <c r="P15" i="18"/>
  <c r="O18" i="19" s="1"/>
  <c r="P8" i="18"/>
  <c r="S22" i="18"/>
  <c r="R22" i="19" s="1"/>
  <c r="H47" i="18"/>
  <c r="G45" i="19" s="1"/>
  <c r="F41" i="18"/>
  <c r="F41" i="21" s="1"/>
  <c r="J48" i="18"/>
  <c r="J48" i="21" s="1"/>
  <c r="M42" i="18"/>
  <c r="M42" i="21" s="1"/>
  <c r="O62" i="18"/>
  <c r="O62" i="20" s="1"/>
  <c r="R29" i="18"/>
  <c r="N19" i="18"/>
  <c r="Q17" i="18"/>
  <c r="H41" i="18"/>
  <c r="H41" i="20" s="1"/>
  <c r="S7" i="18"/>
  <c r="M7" i="18"/>
  <c r="H15" i="18"/>
  <c r="G15" i="19" s="1"/>
  <c r="L26" i="18"/>
  <c r="H62" i="18"/>
  <c r="H62" i="21" s="1"/>
  <c r="P28" i="18"/>
  <c r="O44" i="18"/>
  <c r="O44" i="21" s="1"/>
  <c r="S19" i="18"/>
  <c r="N18" i="18"/>
  <c r="N16" i="18"/>
  <c r="J54" i="18"/>
  <c r="J54" i="20" s="1"/>
  <c r="L21" i="18"/>
  <c r="J26" i="18"/>
  <c r="Q28" i="18"/>
  <c r="L61" i="18"/>
  <c r="L61" i="20" s="1"/>
  <c r="H17" i="18"/>
  <c r="G59" i="18"/>
  <c r="G59" i="21" s="1"/>
  <c r="E39" i="18"/>
  <c r="E39" i="21" s="1"/>
  <c r="P59" i="18"/>
  <c r="P59" i="21" s="1"/>
  <c r="N12" i="19"/>
  <c r="R9" i="18"/>
  <c r="K8" i="18"/>
  <c r="L43" i="18"/>
  <c r="L43" i="21" s="1"/>
  <c r="P39" i="18"/>
  <c r="K43" i="18"/>
  <c r="K43" i="20" s="1"/>
  <c r="J59" i="18"/>
  <c r="J17" i="18"/>
  <c r="G27" i="18"/>
  <c r="L42" i="18"/>
  <c r="L42" i="20" s="1"/>
  <c r="O10" i="18"/>
  <c r="O51" i="18"/>
  <c r="O51" i="20" s="1"/>
  <c r="G51" i="18"/>
  <c r="G51" i="20" s="1"/>
  <c r="P7" i="18"/>
  <c r="O61" i="18"/>
  <c r="O61" i="21" s="1"/>
  <c r="M51" i="18"/>
  <c r="J50" i="18"/>
  <c r="N27" i="18"/>
  <c r="M8" i="18"/>
  <c r="J27" i="18"/>
  <c r="L22" i="18"/>
  <c r="K40" i="18"/>
  <c r="K40" i="21" s="1"/>
  <c r="K21" i="18"/>
  <c r="E44" i="18"/>
  <c r="E44" i="21" s="1"/>
  <c r="J42" i="18"/>
  <c r="J42" i="21" s="1"/>
  <c r="N15" i="18"/>
  <c r="M16" i="19" s="1"/>
  <c r="K41" i="18"/>
  <c r="K41" i="21" s="1"/>
  <c r="G24" i="18"/>
  <c r="F29" i="19" s="1"/>
  <c r="N45" i="18"/>
  <c r="M37" i="19" s="1"/>
  <c r="G19" i="18"/>
  <c r="I54" i="18"/>
  <c r="H50" i="19" s="1"/>
  <c r="E56" i="18"/>
  <c r="E56" i="21" s="1"/>
  <c r="I22" i="18"/>
  <c r="H14" i="18"/>
  <c r="D49" i="18"/>
  <c r="D49" i="21" s="1"/>
  <c r="H12" i="18"/>
  <c r="F62" i="18"/>
  <c r="F62" i="21" s="1"/>
  <c r="K12" i="18"/>
  <c r="J44" i="18"/>
  <c r="J44" i="21" s="1"/>
  <c r="Q21" i="18"/>
  <c r="H51" i="18"/>
  <c r="K50" i="18"/>
  <c r="K50" i="21" s="1"/>
  <c r="P22" i="18"/>
  <c r="O21" i="19" s="1"/>
  <c r="O47" i="18"/>
  <c r="N46" i="19" s="1"/>
  <c r="N53" i="18"/>
  <c r="N53" i="21" s="1"/>
  <c r="P12" i="18"/>
  <c r="M57" i="18"/>
  <c r="M57" i="21" s="1"/>
  <c r="N11" i="18"/>
  <c r="S27" i="18"/>
  <c r="O12" i="18"/>
  <c r="H9" i="18"/>
  <c r="N12" i="18"/>
  <c r="O24" i="18"/>
  <c r="K10" i="18"/>
  <c r="K16" i="18"/>
  <c r="D53" i="18"/>
  <c r="D53" i="21" s="1"/>
  <c r="N28" i="18"/>
  <c r="F43" i="18"/>
  <c r="F43" i="21" s="1"/>
  <c r="I43" i="18"/>
  <c r="I43" i="21" s="1"/>
  <c r="O60" i="18"/>
  <c r="O60" i="21" s="1"/>
  <c r="I13" i="18"/>
  <c r="H7" i="19" s="1"/>
  <c r="R11" i="18"/>
  <c r="G21" i="18"/>
  <c r="L50" i="18"/>
  <c r="S29" i="18"/>
  <c r="J53" i="18"/>
  <c r="J53" i="20" s="1"/>
  <c r="D57" i="18"/>
  <c r="D57" i="21" s="1"/>
  <c r="H50" i="18"/>
  <c r="H50" i="20" s="1"/>
  <c r="G18" i="18"/>
  <c r="E50" i="18"/>
  <c r="E50" i="21" s="1"/>
  <c r="E43" i="18"/>
  <c r="E43" i="21" s="1"/>
  <c r="P48" i="18"/>
  <c r="P48" i="21" s="1"/>
  <c r="I49" i="18"/>
  <c r="I49" i="21" s="1"/>
  <c r="E57" i="18"/>
  <c r="E57" i="21" s="1"/>
  <c r="D39" i="18"/>
  <c r="D39" i="20" s="1"/>
  <c r="Q16" i="18"/>
  <c r="L44" i="18"/>
  <c r="L44" i="20" s="1"/>
  <c r="G29" i="18"/>
  <c r="D56" i="19"/>
  <c r="J7" i="18"/>
  <c r="P62" i="18"/>
  <c r="P62" i="21" s="1"/>
  <c r="L56" i="18"/>
  <c r="K60" i="19" s="1"/>
  <c r="E47" i="18"/>
  <c r="D45" i="19" s="1"/>
  <c r="O50" i="18"/>
  <c r="O50" i="20" s="1"/>
  <c r="J56" i="18"/>
  <c r="J56" i="21" s="1"/>
  <c r="J10" i="18"/>
  <c r="O26" i="18"/>
  <c r="J15" i="18"/>
  <c r="I18" i="19" s="1"/>
  <c r="G7" i="18"/>
  <c r="M24" i="18"/>
  <c r="L28" i="19" s="1"/>
  <c r="S25" i="18"/>
  <c r="G16" i="18"/>
  <c r="G40" i="18"/>
  <c r="G40" i="21" s="1"/>
  <c r="K26" i="18"/>
  <c r="M16" i="18"/>
  <c r="J28" i="18"/>
  <c r="H42" i="18"/>
  <c r="H42" i="20" s="1"/>
  <c r="I61" i="18"/>
  <c r="I61" i="21" s="1"/>
  <c r="O11" i="18"/>
  <c r="J57" i="18"/>
  <c r="J57" i="21" s="1"/>
  <c r="J45" i="18"/>
  <c r="I40" i="19" s="1"/>
  <c r="F59" i="18"/>
  <c r="F59" i="20" s="1"/>
  <c r="G30" i="18"/>
  <c r="Q18" i="18"/>
  <c r="I24" i="18"/>
  <c r="H28" i="19" s="1"/>
  <c r="K13" i="18"/>
  <c r="J7" i="19" s="1"/>
  <c r="N41" i="18"/>
  <c r="N41" i="20" s="1"/>
  <c r="J58" i="18"/>
  <c r="J58" i="21" s="1"/>
  <c r="H55" i="19"/>
  <c r="K59" i="18"/>
  <c r="K59" i="21" s="1"/>
  <c r="R16" i="18"/>
  <c r="K58" i="18"/>
  <c r="K58" i="21" s="1"/>
  <c r="M19" i="18"/>
  <c r="L13" i="18"/>
  <c r="K8" i="19" s="1"/>
  <c r="G47" i="18"/>
  <c r="F48" i="19" s="1"/>
  <c r="M12" i="18"/>
  <c r="R18" i="18"/>
  <c r="D45" i="18"/>
  <c r="D45" i="20" s="1"/>
  <c r="N40" i="18"/>
  <c r="N40" i="20" s="1"/>
  <c r="K23" i="19"/>
  <c r="P41" i="18"/>
  <c r="P41" i="20" s="1"/>
  <c r="G45" i="18"/>
  <c r="G45" i="21" s="1"/>
  <c r="M27" i="18"/>
  <c r="R14" i="18"/>
  <c r="J16" i="18"/>
  <c r="G54" i="18"/>
  <c r="F52" i="19" s="1"/>
  <c r="P10" i="18"/>
  <c r="N48" i="18"/>
  <c r="N48" i="20" s="1"/>
  <c r="S30" i="18"/>
  <c r="S15" i="18"/>
  <c r="R15" i="19" s="1"/>
  <c r="F56" i="18"/>
  <c r="E60" i="19" s="1"/>
  <c r="L18" i="18"/>
  <c r="N52" i="18"/>
  <c r="N52" i="20" s="1"/>
  <c r="H39" i="18"/>
  <c r="H39" i="21" s="1"/>
  <c r="K55" i="18"/>
  <c r="D61" i="18"/>
  <c r="D61" i="21" s="1"/>
  <c r="O53" i="18"/>
  <c r="O53" i="21" s="1"/>
  <c r="O22" i="18"/>
  <c r="N22" i="19" s="1"/>
  <c r="R28" i="18"/>
  <c r="N26" i="18"/>
  <c r="N54" i="18"/>
  <c r="N54" i="21" s="1"/>
  <c r="D50" i="18"/>
  <c r="D50" i="21" s="1"/>
  <c r="G13" i="18"/>
  <c r="F7" i="19" s="1"/>
  <c r="S28" i="18"/>
  <c r="L9" i="18"/>
  <c r="M18" i="18"/>
  <c r="O21" i="18"/>
  <c r="I39" i="18"/>
  <c r="I39" i="20" s="1"/>
  <c r="S10" i="18"/>
  <c r="L15" i="18"/>
  <c r="M22" i="18"/>
  <c r="F49" i="18"/>
  <c r="F49" i="20" s="1"/>
  <c r="K11" i="18"/>
  <c r="G48" i="18"/>
  <c r="G48" i="20" s="1"/>
  <c r="O8" i="18"/>
  <c r="H18" i="18"/>
  <c r="I20" i="18"/>
  <c r="P25" i="18"/>
  <c r="L30" i="18"/>
  <c r="G42" i="19"/>
  <c r="R27" i="18"/>
  <c r="S13" i="18"/>
  <c r="R8" i="19" s="1"/>
  <c r="G17" i="18"/>
  <c r="Q7" i="18"/>
  <c r="H29" i="18"/>
  <c r="O40" i="18"/>
  <c r="O40" i="20" s="1"/>
  <c r="L57" i="18"/>
  <c r="L57" i="20" s="1"/>
  <c r="I52" i="18"/>
  <c r="I52" i="21" s="1"/>
  <c r="D55" i="18"/>
  <c r="I9" i="18"/>
  <c r="Q24" i="18"/>
  <c r="P27" i="19" s="1"/>
  <c r="O16" i="18"/>
  <c r="J62" i="18"/>
  <c r="J62" i="21" s="1"/>
  <c r="D62" i="18"/>
  <c r="D62" i="21" s="1"/>
  <c r="M21" i="18"/>
  <c r="O43" i="18"/>
  <c r="O43" i="21" s="1"/>
  <c r="I45" i="18"/>
  <c r="I45" i="20" s="1"/>
  <c r="M44" i="18"/>
  <c r="M44" i="20" s="1"/>
  <c r="H22" i="18"/>
  <c r="G21" i="19" s="1"/>
  <c r="G56" i="18"/>
  <c r="F60" i="19" s="1"/>
  <c r="F61" i="18"/>
  <c r="F61" i="20" s="1"/>
  <c r="O17" i="18"/>
  <c r="H57" i="18"/>
  <c r="H57" i="20" s="1"/>
  <c r="L20" i="18"/>
  <c r="N21" i="18"/>
  <c r="O29" i="18"/>
  <c r="M50" i="18"/>
  <c r="M50" i="20" s="1"/>
  <c r="O55" i="18"/>
  <c r="O30" i="18"/>
  <c r="I8" i="18"/>
  <c r="E62" i="18"/>
  <c r="E62" i="20" s="1"/>
  <c r="L58" i="18"/>
  <c r="L58" i="20" s="1"/>
  <c r="L12" i="18"/>
  <c r="F45" i="18"/>
  <c r="F45" i="21" s="1"/>
  <c r="E51" i="18"/>
  <c r="E51" i="21" s="1"/>
  <c r="E40" i="18"/>
  <c r="E40" i="21" s="1"/>
  <c r="M30" i="18"/>
  <c r="H60" i="18"/>
  <c r="H60" i="21" s="1"/>
  <c r="R13" i="18"/>
  <c r="Q8" i="19" s="1"/>
  <c r="G43" i="18"/>
  <c r="G43" i="20" s="1"/>
  <c r="I42" i="18"/>
  <c r="I42" i="20" s="1"/>
  <c r="M25" i="18"/>
  <c r="O39" i="18"/>
  <c r="O39" i="21" s="1"/>
  <c r="M39" i="18"/>
  <c r="M39" i="21" s="1"/>
  <c r="K39" i="18"/>
  <c r="K39" i="21" s="1"/>
  <c r="I15" i="18"/>
  <c r="J49" i="18"/>
  <c r="J49" i="21" s="1"/>
  <c r="I26" i="18"/>
  <c r="L53" i="18"/>
  <c r="L53" i="21" s="1"/>
  <c r="M52" i="18"/>
  <c r="M52" i="21" s="1"/>
  <c r="I7" i="18"/>
  <c r="N51" i="18"/>
  <c r="N51" i="20" s="1"/>
  <c r="P56" i="18"/>
  <c r="P56" i="21" s="1"/>
  <c r="H10" i="18"/>
  <c r="S20" i="18"/>
  <c r="N47" i="18"/>
  <c r="M48" i="19" s="1"/>
  <c r="D41" i="18"/>
  <c r="D41" i="21" s="1"/>
  <c r="G58" i="18"/>
  <c r="G58" i="20" s="1"/>
  <c r="Q19" i="18"/>
  <c r="R24" i="18"/>
  <c r="Q30" i="19" s="1"/>
  <c r="H44" i="18"/>
  <c r="H44" i="21" s="1"/>
  <c r="J47" i="18"/>
  <c r="J47" i="21" s="1"/>
  <c r="K42" i="18"/>
  <c r="K42" i="20" s="1"/>
  <c r="G52" i="18"/>
  <c r="G52" i="21" s="1"/>
  <c r="I12" i="18"/>
  <c r="H61" i="18"/>
  <c r="H61" i="21" s="1"/>
  <c r="I62" i="18"/>
  <c r="I62" i="21" s="1"/>
  <c r="G14" i="18"/>
  <c r="M49" i="18"/>
  <c r="M49" i="21" s="1"/>
  <c r="P20" i="18"/>
  <c r="D52" i="18"/>
  <c r="D52" i="20" s="1"/>
  <c r="N13" i="18"/>
  <c r="M10" i="19" s="1"/>
  <c r="R22" i="18"/>
  <c r="Q21" i="19" s="1"/>
  <c r="Q26" i="18"/>
  <c r="I19" i="18"/>
  <c r="O23" i="19"/>
  <c r="R8" i="18"/>
  <c r="K30" i="18"/>
  <c r="L10" i="18"/>
  <c r="P40" i="18"/>
  <c r="P40" i="20" s="1"/>
  <c r="P42" i="18"/>
  <c r="P42" i="21" s="1"/>
  <c r="R12" i="18"/>
  <c r="G42" i="18"/>
  <c r="G42" i="21" s="1"/>
  <c r="R7" i="18"/>
  <c r="I25" i="18"/>
  <c r="D56" i="18"/>
  <c r="D56" i="21" s="1"/>
  <c r="K28" i="18"/>
  <c r="Q24" i="19"/>
  <c r="J21" i="18"/>
  <c r="E42" i="18"/>
  <c r="E42" i="20" s="1"/>
  <c r="K56" i="18"/>
  <c r="J58" i="19" s="1"/>
  <c r="L8" i="18"/>
  <c r="G53" i="18"/>
  <c r="G53" i="20" s="1"/>
  <c r="J22" i="18"/>
  <c r="I21" i="19" s="1"/>
  <c r="P44" i="18"/>
  <c r="P44" i="20" s="1"/>
  <c r="D44" i="19"/>
  <c r="N50" i="18"/>
  <c r="N50" i="20" s="1"/>
  <c r="O59" i="18"/>
  <c r="O59" i="21" s="1"/>
  <c r="I41" i="18"/>
  <c r="I41" i="20" s="1"/>
  <c r="K20" i="18"/>
  <c r="N10" i="18"/>
  <c r="N17" i="18"/>
  <c r="F43" i="19"/>
  <c r="Q12" i="18"/>
  <c r="Q29" i="18"/>
  <c r="P57" i="18"/>
  <c r="P57" i="20" s="1"/>
  <c r="O15" i="18"/>
  <c r="N17" i="19" s="1"/>
  <c r="D60" i="18"/>
  <c r="D60" i="20" s="1"/>
  <c r="G62" i="18"/>
  <c r="G62" i="20" s="1"/>
  <c r="I51" i="18"/>
  <c r="I51" i="21" s="1"/>
  <c r="F60" i="18"/>
  <c r="F60" i="20" s="1"/>
  <c r="K57" i="18"/>
  <c r="K57" i="21" s="1"/>
  <c r="K7" i="18"/>
  <c r="P11" i="18"/>
  <c r="G49" i="18"/>
  <c r="G49" i="21" s="1"/>
  <c r="M48" i="18"/>
  <c r="M48" i="21" s="1"/>
  <c r="H54" i="18"/>
  <c r="H54" i="20" s="1"/>
  <c r="Q22" i="18"/>
  <c r="P21" i="19" s="1"/>
  <c r="H11" i="18"/>
  <c r="H27" i="18"/>
  <c r="I10" i="18"/>
  <c r="M17" i="18"/>
  <c r="F39" i="18"/>
  <c r="F39" i="20" s="1"/>
  <c r="F47" i="18"/>
  <c r="F47" i="21" s="1"/>
  <c r="M60" i="18"/>
  <c r="M60" i="21" s="1"/>
  <c r="P16" i="18"/>
  <c r="P43" i="18"/>
  <c r="P43" i="20" s="1"/>
  <c r="M26" i="18"/>
  <c r="I18" i="18"/>
  <c r="E45" i="18"/>
  <c r="D39" i="19" s="1"/>
  <c r="M10" i="18"/>
  <c r="I26" i="19"/>
  <c r="M58" i="18"/>
  <c r="M58" i="20" s="1"/>
  <c r="P54" i="18"/>
  <c r="O51" i="19" s="1"/>
  <c r="K22" i="18"/>
  <c r="J20" i="19" s="1"/>
  <c r="H28" i="18"/>
  <c r="F40" i="18"/>
  <c r="F40" i="20" s="1"/>
  <c r="Q10" i="18"/>
  <c r="M54" i="18"/>
  <c r="M54" i="20" s="1"/>
  <c r="L45" i="18"/>
  <c r="K39" i="19" s="1"/>
  <c r="M43" i="18"/>
  <c r="M43" i="21" s="1"/>
  <c r="N9" i="18"/>
  <c r="M61" i="18"/>
  <c r="M61" i="21" s="1"/>
  <c r="R26" i="18"/>
  <c r="P29" i="18"/>
  <c r="P49" i="18"/>
  <c r="P49" i="21" s="1"/>
  <c r="O42" i="18"/>
  <c r="O42" i="21" s="1"/>
  <c r="P53" i="18"/>
  <c r="P53" i="21" s="1"/>
  <c r="N42" i="18"/>
  <c r="N42" i="20" s="1"/>
  <c r="K29" i="18"/>
  <c r="K27" i="18"/>
  <c r="P51" i="18"/>
  <c r="P51" i="20" s="1"/>
  <c r="F52" i="18"/>
  <c r="F52" i="21" s="1"/>
  <c r="R10" i="18"/>
  <c r="D54" i="18"/>
  <c r="C49" i="19" s="1"/>
  <c r="J11" i="18"/>
  <c r="P19" i="18"/>
  <c r="H21" i="18"/>
  <c r="M28" i="18"/>
  <c r="H56" i="18"/>
  <c r="G57" i="19" s="1"/>
  <c r="K61" i="18"/>
  <c r="K61" i="21" s="1"/>
  <c r="K15" i="18"/>
  <c r="J16" i="19" s="1"/>
  <c r="F50" i="18"/>
  <c r="F50" i="21" s="1"/>
  <c r="J9" i="18"/>
  <c r="I40" i="18"/>
  <c r="I40" i="20" s="1"/>
  <c r="L24" i="18"/>
  <c r="K29" i="19" s="1"/>
  <c r="J25" i="18"/>
  <c r="I59" i="18"/>
  <c r="I59" i="20" s="1"/>
  <c r="E60" i="18"/>
  <c r="E60" i="21" s="1"/>
  <c r="P17" i="18"/>
  <c r="D44" i="18"/>
  <c r="D44" i="21" s="1"/>
  <c r="L7" i="18"/>
  <c r="G60" i="18"/>
  <c r="G60" i="20" s="1"/>
  <c r="K53" i="18"/>
  <c r="K53" i="20" s="1"/>
  <c r="N61" i="18"/>
  <c r="N61" i="20" s="1"/>
  <c r="I28" i="18"/>
  <c r="O45" i="18"/>
  <c r="N40" i="19" s="1"/>
  <c r="P26" i="18"/>
  <c r="G26" i="18"/>
  <c r="L39" i="18"/>
  <c r="L39" i="21" s="1"/>
  <c r="L25" i="18"/>
  <c r="K47" i="18"/>
  <c r="K47" i="20" s="1"/>
  <c r="L60" i="18"/>
  <c r="L60" i="20" s="1"/>
  <c r="L51" i="18"/>
  <c r="L51" i="21" s="1"/>
  <c r="G12" i="18"/>
  <c r="K17" i="18"/>
  <c r="N22" i="18"/>
  <c r="M21" i="19" s="1"/>
  <c r="J24" i="18"/>
  <c r="I28" i="19" s="1"/>
  <c r="F51" i="18"/>
  <c r="F51" i="21" s="1"/>
  <c r="E53" i="18"/>
  <c r="E53" i="21" s="1"/>
  <c r="G28" i="18"/>
  <c r="Q30" i="18"/>
  <c r="K48" i="18"/>
  <c r="K48" i="20" s="1"/>
  <c r="Q8" i="18"/>
  <c r="P21" i="18"/>
  <c r="J19" i="18"/>
  <c r="P24" i="18"/>
  <c r="I57" i="18"/>
  <c r="I57" i="20" s="1"/>
  <c r="R19" i="18"/>
  <c r="L14" i="18"/>
  <c r="K13" i="19" s="1"/>
  <c r="N44" i="18"/>
  <c r="N44" i="21" s="1"/>
  <c r="N43" i="18"/>
  <c r="N43" i="21" s="1"/>
  <c r="G39" i="18"/>
  <c r="G39" i="20" s="1"/>
  <c r="K62" i="18"/>
  <c r="K62" i="21" s="1"/>
  <c r="S11" i="18"/>
  <c r="L47" i="18"/>
  <c r="K45" i="19" s="1"/>
  <c r="G57" i="18"/>
  <c r="G57" i="21" s="1"/>
  <c r="L59" i="18"/>
  <c r="L59" i="21" s="1"/>
  <c r="N30" i="18"/>
  <c r="O54" i="18"/>
  <c r="N49" i="19" s="1"/>
  <c r="N7" i="18"/>
  <c r="R30" i="18"/>
  <c r="N59" i="18"/>
  <c r="N59" i="21" s="1"/>
  <c r="O28" i="18"/>
  <c r="J41" i="18"/>
  <c r="J41" i="20" s="1"/>
  <c r="O48" i="18"/>
  <c r="O48" i="21" s="1"/>
  <c r="G25" i="18"/>
  <c r="O19" i="18"/>
  <c r="R21" i="18"/>
  <c r="I21" i="18"/>
  <c r="G44" i="18"/>
  <c r="G44" i="20" s="1"/>
  <c r="N60" i="18"/>
  <c r="N60" i="21" s="1"/>
  <c r="H19" i="18"/>
  <c r="J52" i="18"/>
  <c r="J52" i="20" s="1"/>
  <c r="F42" i="18"/>
  <c r="F42" i="21" s="1"/>
  <c r="G11" i="18"/>
  <c r="I53" i="18"/>
  <c r="I53" i="21" s="1"/>
  <c r="K44" i="18"/>
  <c r="K44" i="21" s="1"/>
  <c r="J13" i="18"/>
  <c r="I9" i="19" s="1"/>
  <c r="D42" i="18"/>
  <c r="D42" i="21" s="1"/>
  <c r="H49" i="18"/>
  <c r="H49" i="21" s="1"/>
  <c r="N23" i="18"/>
  <c r="H16" i="18"/>
  <c r="Q20" i="18"/>
  <c r="K45" i="18"/>
  <c r="K45" i="20" s="1"/>
  <c r="N8" i="18"/>
  <c r="I47" i="18"/>
  <c r="I47" i="21" s="1"/>
  <c r="K9" i="18"/>
  <c r="O13" i="18"/>
  <c r="N10" i="19" s="1"/>
  <c r="H45" i="18"/>
  <c r="G37" i="19" s="1"/>
  <c r="R25" i="18"/>
  <c r="O18" i="18"/>
  <c r="M29" i="18"/>
  <c r="L29" i="18"/>
  <c r="I14" i="18"/>
  <c r="K14" i="18" s="1"/>
  <c r="I29" i="18"/>
  <c r="P50" i="18"/>
  <c r="P50" i="21" s="1"/>
  <c r="S24" i="18"/>
  <c r="R28" i="19" s="1"/>
  <c r="M47" i="18"/>
  <c r="M47" i="21" s="1"/>
  <c r="K46" i="18"/>
  <c r="L46" i="18" s="1"/>
  <c r="N46" i="18" s="1"/>
  <c r="P46" i="18" s="1"/>
  <c r="R46" i="18" s="1"/>
  <c r="K49" i="18"/>
  <c r="K49" i="21" s="1"/>
  <c r="L28" i="18"/>
  <c r="E61" i="18"/>
  <c r="E61" i="21" s="1"/>
  <c r="P18" i="18"/>
  <c r="F48" i="18"/>
  <c r="F48" i="21" s="1"/>
  <c r="J29" i="18"/>
  <c r="S21" i="18"/>
  <c r="J61" i="18"/>
  <c r="J61" i="21" s="1"/>
  <c r="D40" i="18"/>
  <c r="D40" i="20" s="1"/>
  <c r="H59" i="18"/>
  <c r="H59" i="20" s="1"/>
  <c r="I11" i="18"/>
  <c r="O52" i="18"/>
  <c r="O52" i="20" s="1"/>
  <c r="E49" i="18"/>
  <c r="E49" i="20" s="1"/>
  <c r="I17" i="18"/>
  <c r="N49" i="18"/>
  <c r="N49" i="20" s="1"/>
  <c r="M59" i="18"/>
  <c r="M59" i="21" s="1"/>
  <c r="K51" i="18"/>
  <c r="K51" i="21" s="1"/>
  <c r="D47" i="18"/>
  <c r="D47" i="21" s="1"/>
  <c r="M20" i="18"/>
  <c r="S26" i="18"/>
  <c r="S16" i="18"/>
  <c r="P45" i="18"/>
  <c r="P45" i="21" s="1"/>
  <c r="M11" i="19"/>
  <c r="L16" i="18"/>
  <c r="L52" i="18"/>
  <c r="L52" i="20" s="1"/>
  <c r="E52" i="18"/>
  <c r="E52" i="20" s="1"/>
  <c r="H13" i="18"/>
  <c r="G9" i="19" s="1"/>
  <c r="S17" i="18"/>
  <c r="J43" i="18"/>
  <c r="J43" i="20" s="1"/>
  <c r="F57" i="18"/>
  <c r="F57" i="21" s="1"/>
  <c r="J8" i="18"/>
  <c r="D51" i="18"/>
  <c r="D51" i="20" s="1"/>
  <c r="S9" i="18"/>
  <c r="L11" i="18"/>
  <c r="H30" i="18"/>
  <c r="L27" i="18"/>
  <c r="N29" i="18"/>
  <c r="N20" i="18"/>
  <c r="I50" i="18"/>
  <c r="I50" i="21" s="1"/>
  <c r="P58" i="18"/>
  <c r="P58" i="21" s="1"/>
  <c r="N25" i="18"/>
  <c r="F54" i="18"/>
  <c r="F54" i="21" s="1"/>
  <c r="H20" i="18"/>
  <c r="L48" i="18"/>
  <c r="L48" i="21" s="1"/>
  <c r="H53" i="18"/>
  <c r="H53" i="21" s="1"/>
  <c r="H25" i="18"/>
  <c r="G20" i="18"/>
  <c r="H52" i="18"/>
  <c r="H52" i="21" s="1"/>
  <c r="G50" i="18"/>
  <c r="G50" i="21" s="1"/>
  <c r="L19" i="18"/>
  <c r="E54" i="18"/>
  <c r="D52" i="19" s="1"/>
  <c r="P30" i="18"/>
  <c r="K24" i="18"/>
  <c r="J29" i="19" s="1"/>
  <c r="H23" i="18"/>
  <c r="I48" i="18"/>
  <c r="I48" i="20" s="1"/>
  <c r="N58" i="18"/>
  <c r="N58" i="21" s="1"/>
  <c r="M41" i="18"/>
  <c r="M41" i="21" s="1"/>
  <c r="O7" i="18"/>
  <c r="I44" i="18"/>
  <c r="I44" i="21" s="1"/>
  <c r="G61" i="18"/>
  <c r="G61" i="20" s="1"/>
  <c r="Q15" i="18"/>
  <c r="P17" i="19" s="1"/>
  <c r="O25" i="18"/>
  <c r="Q27" i="18"/>
  <c r="L41" i="18"/>
  <c r="L41" i="21" s="1"/>
  <c r="K54" i="18"/>
  <c r="K54" i="21" s="1"/>
  <c r="K52" i="18"/>
  <c r="K52" i="21" s="1"/>
  <c r="I16" i="18"/>
  <c r="M9" i="18"/>
  <c r="N62" i="18"/>
  <c r="N62" i="20" s="1"/>
  <c r="S12" i="18"/>
  <c r="H8" i="18"/>
  <c r="O20" i="18"/>
  <c r="P60" i="18"/>
  <c r="P60" i="20" s="1"/>
  <c r="G15" i="18"/>
  <c r="F17" i="19" s="1"/>
  <c r="M56" i="18"/>
  <c r="M56" i="21" s="1"/>
  <c r="E48" i="18"/>
  <c r="E48" i="21" s="1"/>
  <c r="F53" i="18"/>
  <c r="F53" i="21" s="1"/>
  <c r="F44" i="18"/>
  <c r="F44" i="21" s="1"/>
  <c r="N57" i="18"/>
  <c r="N57" i="21" s="1"/>
  <c r="M40" i="18"/>
  <c r="M40" i="20" s="1"/>
  <c r="D58" i="18"/>
  <c r="D58" i="20" s="1"/>
  <c r="I56" i="18"/>
  <c r="H58" i="19" s="1"/>
  <c r="G10" i="18"/>
  <c r="Q9" i="18"/>
  <c r="F58" i="18"/>
  <c r="F58" i="21" s="1"/>
  <c r="O49" i="18"/>
  <c r="O49" i="20" s="1"/>
  <c r="P61" i="18"/>
  <c r="P61" i="21" s="1"/>
  <c r="D59" i="18"/>
  <c r="D59" i="21" s="1"/>
  <c r="D43" i="18"/>
  <c r="D43" i="21" s="1"/>
  <c r="H26" i="18"/>
  <c r="H43" i="19"/>
  <c r="M45" i="18"/>
  <c r="L39" i="19" s="1"/>
  <c r="M53" i="18"/>
  <c r="M53" i="21" s="1"/>
  <c r="N24" i="18"/>
  <c r="M29" i="19" s="1"/>
  <c r="O56" i="18"/>
  <c r="N58" i="19" s="1"/>
  <c r="P27" i="18"/>
  <c r="L49" i="18"/>
  <c r="L49" i="20" s="1"/>
  <c r="O9" i="18"/>
  <c r="J20" i="18"/>
  <c r="G41" i="18"/>
  <c r="G41" i="20" s="1"/>
  <c r="G22" i="18"/>
  <c r="Q13" i="18"/>
  <c r="P8" i="19" s="1"/>
  <c r="S8" i="18"/>
  <c r="H43" i="18"/>
  <c r="H43" i="20" s="1"/>
  <c r="I60" i="18"/>
  <c r="I60" i="20" s="1"/>
  <c r="K19" i="18"/>
  <c r="N39" i="18"/>
  <c r="N39" i="21" s="1"/>
  <c r="O41" i="18"/>
  <c r="O41" i="21" s="1"/>
  <c r="E58" i="18"/>
  <c r="E58" i="20" s="1"/>
  <c r="L40" i="18"/>
  <c r="L40" i="20" s="1"/>
  <c r="Q11" i="18"/>
  <c r="R15" i="18"/>
  <c r="Q16" i="19" s="1"/>
  <c r="H48" i="18"/>
  <c r="H48" i="21" s="1"/>
  <c r="P13" i="18"/>
  <c r="O9" i="19" s="1"/>
  <c r="I30" i="18"/>
  <c r="J12" i="18"/>
  <c r="M62" i="18"/>
  <c r="M62" i="21" s="1"/>
  <c r="J40" i="18"/>
  <c r="J40" i="21" s="1"/>
  <c r="J18" i="18"/>
  <c r="M15" i="18"/>
  <c r="L15" i="19" s="1"/>
  <c r="H7" i="18"/>
  <c r="J39" i="18"/>
  <c r="J39" i="20" s="1"/>
  <c r="O57" i="18"/>
  <c r="O57" i="21" s="1"/>
  <c r="R20" i="18"/>
  <c r="L17" i="18"/>
  <c r="I27" i="18"/>
  <c r="M11" i="18"/>
  <c r="L62" i="18"/>
  <c r="L62" i="20" s="1"/>
  <c r="O58" i="18"/>
  <c r="O58" i="21" s="1"/>
  <c r="D48" i="18"/>
  <c r="D48" i="20" s="1"/>
  <c r="P47" i="21"/>
  <c r="P47" i="20"/>
  <c r="L50" i="21"/>
  <c r="L50" i="20"/>
  <c r="N45" i="20"/>
  <c r="J50" i="21"/>
  <c r="J50" i="20"/>
  <c r="P39" i="21"/>
  <c r="P39" i="20"/>
  <c r="N28" i="19"/>
  <c r="I59" i="21"/>
  <c r="M51" i="21"/>
  <c r="M51" i="20"/>
  <c r="J53" i="19"/>
  <c r="H51" i="21"/>
  <c r="H51" i="20"/>
  <c r="G54" i="20"/>
  <c r="O19" i="19"/>
  <c r="D53" i="20"/>
  <c r="H52" i="19"/>
  <c r="I54" i="21"/>
  <c r="I54" i="20"/>
  <c r="J59" i="21"/>
  <c r="J59" i="20"/>
  <c r="I41" i="21"/>
  <c r="L44" i="19"/>
  <c r="I16" i="19"/>
  <c r="I17" i="19"/>
  <c r="H23" i="2"/>
  <c r="F49" i="19"/>
  <c r="H54" i="19"/>
  <c r="J55" i="19"/>
  <c r="J56" i="19"/>
  <c r="D60" i="19"/>
  <c r="I20" i="19"/>
  <c r="Q20" i="19"/>
  <c r="G17" i="19"/>
  <c r="G18" i="19"/>
  <c r="H53" i="19"/>
  <c r="I22" i="19"/>
  <c r="J54" i="19"/>
  <c r="E38" i="19"/>
  <c r="F38" i="19"/>
  <c r="N30" i="19"/>
  <c r="F30" i="19"/>
  <c r="F27" i="19"/>
  <c r="I52" i="19"/>
  <c r="D57" i="19"/>
  <c r="O45" i="19"/>
  <c r="R19" i="19"/>
  <c r="N27" i="19"/>
  <c r="J21" i="19"/>
  <c r="N29" i="19"/>
  <c r="I24" i="19"/>
  <c r="K26" i="19"/>
  <c r="N48" i="19"/>
  <c r="M39" i="19"/>
  <c r="Q26" i="19"/>
  <c r="M38" i="19"/>
  <c r="Q25" i="19"/>
  <c r="M40" i="19"/>
  <c r="K9" i="1"/>
  <c r="L9" i="1" s="1"/>
  <c r="R7" i="1"/>
  <c r="Q5" i="1"/>
  <c r="R5" i="1" s="1"/>
  <c r="F53" i="19"/>
  <c r="Q23" i="19"/>
  <c r="I14" i="19"/>
  <c r="I13" i="19"/>
  <c r="I12" i="19"/>
  <c r="I11" i="19"/>
  <c r="G29" i="19"/>
  <c r="J43" i="19"/>
  <c r="O46" i="19"/>
  <c r="J42" i="19"/>
  <c r="O48" i="19"/>
  <c r="K10" i="19"/>
  <c r="P7" i="1"/>
  <c r="O5" i="1"/>
  <c r="G7" i="1"/>
  <c r="H5" i="1"/>
  <c r="I7" i="1"/>
  <c r="BA22" i="1"/>
  <c r="D58" i="19" l="1"/>
  <c r="D59" i="19"/>
  <c r="N47" i="19"/>
  <c r="G16" i="19"/>
  <c r="M59" i="19"/>
  <c r="N45" i="19"/>
  <c r="I15" i="19"/>
  <c r="R20" i="19"/>
  <c r="R21" i="19"/>
  <c r="O49" i="19"/>
  <c r="K50" i="20"/>
  <c r="K7" i="19"/>
  <c r="O16" i="19"/>
  <c r="G46" i="19"/>
  <c r="N45" i="21"/>
  <c r="H50" i="21"/>
  <c r="O47" i="20"/>
  <c r="E56" i="20"/>
  <c r="J48" i="20"/>
  <c r="O60" i="20"/>
  <c r="Q19" i="19"/>
  <c r="M58" i="21"/>
  <c r="J51" i="21"/>
  <c r="P48" i="20"/>
  <c r="H29" i="19"/>
  <c r="E41" i="21"/>
  <c r="E47" i="21"/>
  <c r="E62" i="21"/>
  <c r="M57" i="20"/>
  <c r="H47" i="21"/>
  <c r="G48" i="23" s="1"/>
  <c r="G48" i="19"/>
  <c r="E47" i="20"/>
  <c r="D46" i="19"/>
  <c r="O39" i="20"/>
  <c r="D48" i="19"/>
  <c r="H47" i="20"/>
  <c r="G47" i="22" s="1"/>
  <c r="M52" i="19"/>
  <c r="D47" i="19"/>
  <c r="G47" i="19"/>
  <c r="D49" i="20"/>
  <c r="E39" i="20"/>
  <c r="H45" i="19"/>
  <c r="F61" i="21"/>
  <c r="H48" i="19"/>
  <c r="K60" i="20"/>
  <c r="I52" i="20"/>
  <c r="E44" i="20"/>
  <c r="P59" i="20"/>
  <c r="M39" i="20"/>
  <c r="F59" i="19"/>
  <c r="L47" i="19"/>
  <c r="L46" i="19"/>
  <c r="O39" i="19"/>
  <c r="O37" i="19"/>
  <c r="L45" i="19"/>
  <c r="M30" i="19"/>
  <c r="H46" i="19"/>
  <c r="C37" i="19"/>
  <c r="E49" i="19"/>
  <c r="L7" i="19"/>
  <c r="H40" i="21"/>
  <c r="L48" i="20"/>
  <c r="D45" i="21"/>
  <c r="C39" i="23" s="1"/>
  <c r="C39" i="19"/>
  <c r="C38" i="19"/>
  <c r="J8" i="19"/>
  <c r="L8" i="19"/>
  <c r="C40" i="19"/>
  <c r="J10" i="19"/>
  <c r="E42" i="21"/>
  <c r="M14" i="18"/>
  <c r="R18" i="19"/>
  <c r="H62" i="20"/>
  <c r="L10" i="19"/>
  <c r="J9" i="19"/>
  <c r="H61" i="20"/>
  <c r="Q13" i="19"/>
  <c r="S14" i="18"/>
  <c r="R16" i="19"/>
  <c r="P7" i="19"/>
  <c r="K58" i="19"/>
  <c r="R17" i="19"/>
  <c r="P9" i="19"/>
  <c r="O38" i="19"/>
  <c r="E59" i="19"/>
  <c r="H8" i="19"/>
  <c r="N18" i="19"/>
  <c r="G30" i="19"/>
  <c r="H52" i="20"/>
  <c r="F59" i="21"/>
  <c r="N47" i="21"/>
  <c r="M48" i="23" s="1"/>
  <c r="J57" i="19"/>
  <c r="K28" i="19"/>
  <c r="I10" i="19"/>
  <c r="J22" i="19"/>
  <c r="N56" i="20"/>
  <c r="M59" i="22" s="1"/>
  <c r="H42" i="21"/>
  <c r="C59" i="19"/>
  <c r="C57" i="19"/>
  <c r="H53" i="23"/>
  <c r="C58" i="19"/>
  <c r="H56" i="19"/>
  <c r="G20" i="19"/>
  <c r="G28" i="19"/>
  <c r="D41" i="20"/>
  <c r="O60" i="19"/>
  <c r="D55" i="19"/>
  <c r="P28" i="19"/>
  <c r="M60" i="19"/>
  <c r="O20" i="19"/>
  <c r="D57" i="20"/>
  <c r="F39" i="21"/>
  <c r="D39" i="21"/>
  <c r="O53" i="20"/>
  <c r="F27" i="21"/>
  <c r="F27" i="20"/>
  <c r="F26" i="21"/>
  <c r="F26" i="20"/>
  <c r="C30" i="19"/>
  <c r="C28" i="19"/>
  <c r="C29" i="19"/>
  <c r="C27" i="19"/>
  <c r="D24" i="21"/>
  <c r="D24" i="20"/>
  <c r="E12" i="21"/>
  <c r="E12" i="20"/>
  <c r="D16" i="21"/>
  <c r="D16" i="20"/>
  <c r="E18" i="21"/>
  <c r="E18" i="20"/>
  <c r="R61" i="21"/>
  <c r="R61" i="20"/>
  <c r="R50" i="21"/>
  <c r="R50" i="20"/>
  <c r="P30" i="19"/>
  <c r="Q12" i="19"/>
  <c r="O58" i="19"/>
  <c r="O59" i="19"/>
  <c r="Q11" i="19"/>
  <c r="G19" i="19"/>
  <c r="H49" i="19"/>
  <c r="I8" i="19"/>
  <c r="I38" i="19"/>
  <c r="O22" i="19"/>
  <c r="I7" i="19"/>
  <c r="L61" i="21"/>
  <c r="F25" i="21"/>
  <c r="F25" i="20"/>
  <c r="F8" i="21"/>
  <c r="F8" i="20"/>
  <c r="E11" i="21"/>
  <c r="E11" i="20"/>
  <c r="D26" i="19"/>
  <c r="D25" i="19"/>
  <c r="D24" i="19"/>
  <c r="D23" i="19"/>
  <c r="E27" i="21"/>
  <c r="E27" i="20"/>
  <c r="E29" i="21"/>
  <c r="E29" i="20"/>
  <c r="R48" i="21"/>
  <c r="R48" i="20"/>
  <c r="Q59" i="19"/>
  <c r="Q57" i="19"/>
  <c r="R56" i="21"/>
  <c r="Q60" i="19"/>
  <c r="Q58" i="19"/>
  <c r="R56" i="20"/>
  <c r="O24" i="19"/>
  <c r="P29" i="19"/>
  <c r="M27" i="19"/>
  <c r="Q14" i="19"/>
  <c r="D53" i="19"/>
  <c r="I37" i="19"/>
  <c r="P52" i="20"/>
  <c r="F30" i="21"/>
  <c r="F30" i="20"/>
  <c r="F15" i="21"/>
  <c r="E17" i="19"/>
  <c r="E18" i="19"/>
  <c r="E16" i="19"/>
  <c r="E15" i="19"/>
  <c r="F15" i="20"/>
  <c r="D22" i="19"/>
  <c r="D21" i="19"/>
  <c r="D19" i="19"/>
  <c r="E22" i="21"/>
  <c r="D20" i="19"/>
  <c r="E22" i="20"/>
  <c r="D11" i="21"/>
  <c r="D11" i="20"/>
  <c r="D18" i="19"/>
  <c r="D17" i="19"/>
  <c r="D16" i="19"/>
  <c r="D15" i="19"/>
  <c r="E15" i="21"/>
  <c r="E15" i="20"/>
  <c r="D29" i="21"/>
  <c r="D29" i="20"/>
  <c r="R62" i="21"/>
  <c r="R62" i="20"/>
  <c r="R44" i="21"/>
  <c r="R44" i="20"/>
  <c r="L37" i="19"/>
  <c r="O25" i="19"/>
  <c r="H51" i="19"/>
  <c r="F42" i="19"/>
  <c r="H54" i="22"/>
  <c r="F28" i="21"/>
  <c r="F28" i="20"/>
  <c r="D10" i="21"/>
  <c r="D10" i="20"/>
  <c r="E9" i="21"/>
  <c r="E9" i="20"/>
  <c r="D27" i="21"/>
  <c r="D27" i="20"/>
  <c r="E26" i="21"/>
  <c r="E26" i="20"/>
  <c r="R49" i="21"/>
  <c r="R49" i="20"/>
  <c r="F16" i="21"/>
  <c r="F16" i="20"/>
  <c r="F10" i="21"/>
  <c r="F10" i="20"/>
  <c r="D9" i="21"/>
  <c r="D9" i="20"/>
  <c r="E30" i="21"/>
  <c r="E30" i="20"/>
  <c r="D15" i="21"/>
  <c r="C18" i="19"/>
  <c r="C17" i="19"/>
  <c r="C16" i="19"/>
  <c r="C15" i="19"/>
  <c r="D15" i="20"/>
  <c r="D11" i="19"/>
  <c r="D14" i="19"/>
  <c r="D13" i="19"/>
  <c r="D12" i="19"/>
  <c r="R59" i="21"/>
  <c r="R59" i="20"/>
  <c r="R43" i="21"/>
  <c r="R43" i="20"/>
  <c r="J47" i="19"/>
  <c r="E7" i="19"/>
  <c r="F13" i="21"/>
  <c r="E9" i="19"/>
  <c r="E10" i="19"/>
  <c r="E8" i="19"/>
  <c r="F13" i="20"/>
  <c r="F12" i="21"/>
  <c r="F12" i="20"/>
  <c r="E20" i="21"/>
  <c r="E20" i="20"/>
  <c r="D30" i="21"/>
  <c r="D30" i="20"/>
  <c r="D12" i="21"/>
  <c r="D12" i="20"/>
  <c r="D26" i="21"/>
  <c r="D26" i="20"/>
  <c r="R47" i="21"/>
  <c r="Q48" i="19"/>
  <c r="Q47" i="19"/>
  <c r="Q46" i="19"/>
  <c r="Q45" i="19"/>
  <c r="R47" i="20"/>
  <c r="R39" i="21"/>
  <c r="R39" i="20"/>
  <c r="F20" i="21"/>
  <c r="F20" i="20"/>
  <c r="F18" i="21"/>
  <c r="F18" i="20"/>
  <c r="D20" i="21"/>
  <c r="D20" i="20"/>
  <c r="D18" i="21"/>
  <c r="D18" i="20"/>
  <c r="R60" i="21"/>
  <c r="R60" i="20"/>
  <c r="R42" i="21"/>
  <c r="R42" i="20"/>
  <c r="E22" i="19"/>
  <c r="E21" i="19"/>
  <c r="F22" i="21"/>
  <c r="E20" i="19"/>
  <c r="E19" i="19"/>
  <c r="F22" i="20"/>
  <c r="F21" i="21"/>
  <c r="F21" i="20"/>
  <c r="D8" i="21"/>
  <c r="D8" i="20"/>
  <c r="E17" i="21"/>
  <c r="E17" i="20"/>
  <c r="E10" i="21"/>
  <c r="E10" i="20"/>
  <c r="E25" i="21"/>
  <c r="E25" i="20"/>
  <c r="R58" i="21"/>
  <c r="R58" i="20"/>
  <c r="R53" i="21"/>
  <c r="R53" i="20"/>
  <c r="O26" i="19"/>
  <c r="G22" i="19"/>
  <c r="F41" i="20"/>
  <c r="N56" i="21"/>
  <c r="M60" i="23" s="1"/>
  <c r="L58" i="21"/>
  <c r="K43" i="21"/>
  <c r="P41" i="21"/>
  <c r="F17" i="21"/>
  <c r="F17" i="20"/>
  <c r="F29" i="21"/>
  <c r="F29" i="20"/>
  <c r="E7" i="21"/>
  <c r="E7" i="20"/>
  <c r="D17" i="21"/>
  <c r="D17" i="20"/>
  <c r="C22" i="19"/>
  <c r="C20" i="19"/>
  <c r="C21" i="19"/>
  <c r="C19" i="19"/>
  <c r="D22" i="21"/>
  <c r="D22" i="20"/>
  <c r="D10" i="19"/>
  <c r="D9" i="19"/>
  <c r="E13" i="21"/>
  <c r="D8" i="19"/>
  <c r="D7" i="19"/>
  <c r="E13" i="20"/>
  <c r="R41" i="21"/>
  <c r="R41" i="20"/>
  <c r="I39" i="19"/>
  <c r="D54" i="19"/>
  <c r="M57" i="19"/>
  <c r="I39" i="21"/>
  <c r="L57" i="21"/>
  <c r="F7" i="21"/>
  <c r="F7" i="20"/>
  <c r="E19" i="21"/>
  <c r="E19" i="20"/>
  <c r="E28" i="21"/>
  <c r="E28" i="20"/>
  <c r="E21" i="21"/>
  <c r="E21" i="20"/>
  <c r="D25" i="21"/>
  <c r="D25" i="20"/>
  <c r="R57" i="21"/>
  <c r="R57" i="20"/>
  <c r="Q52" i="19"/>
  <c r="Q51" i="19"/>
  <c r="Q50" i="19"/>
  <c r="Q49" i="19"/>
  <c r="R54" i="21"/>
  <c r="R54" i="20"/>
  <c r="E30" i="19"/>
  <c r="E27" i="19"/>
  <c r="F24" i="21"/>
  <c r="E29" i="19"/>
  <c r="E28" i="19"/>
  <c r="F24" i="20"/>
  <c r="D7" i="21"/>
  <c r="D7" i="20"/>
  <c r="E16" i="21"/>
  <c r="E16" i="20"/>
  <c r="D21" i="21"/>
  <c r="D21" i="20"/>
  <c r="C10" i="19"/>
  <c r="C8" i="19"/>
  <c r="C9" i="19"/>
  <c r="C7" i="19"/>
  <c r="D13" i="21"/>
  <c r="D13" i="20"/>
  <c r="R45" i="21"/>
  <c r="Q39" i="19"/>
  <c r="Q37" i="19"/>
  <c r="Q40" i="19"/>
  <c r="Q38" i="19"/>
  <c r="R45" i="20"/>
  <c r="R52" i="21"/>
  <c r="R52" i="20"/>
  <c r="J45" i="19"/>
  <c r="M46" i="19"/>
  <c r="F19" i="21"/>
  <c r="F19" i="20"/>
  <c r="F11" i="21"/>
  <c r="F11" i="20"/>
  <c r="D30" i="19"/>
  <c r="D29" i="19"/>
  <c r="D28" i="19"/>
  <c r="E24" i="21"/>
  <c r="D27" i="19"/>
  <c r="E24" i="20"/>
  <c r="D19" i="21"/>
  <c r="D19" i="20"/>
  <c r="D28" i="21"/>
  <c r="D28" i="20"/>
  <c r="E8" i="21"/>
  <c r="E8" i="20"/>
  <c r="F9" i="21"/>
  <c r="F9" i="20"/>
  <c r="R51" i="21"/>
  <c r="R51" i="20"/>
  <c r="R40" i="21"/>
  <c r="R40" i="20"/>
  <c r="K46" i="19"/>
  <c r="N14" i="19"/>
  <c r="L43" i="19"/>
  <c r="K39" i="20"/>
  <c r="L42" i="19"/>
  <c r="K47" i="21"/>
  <c r="J46" i="23" s="1"/>
  <c r="O52" i="21"/>
  <c r="L44" i="21"/>
  <c r="L43" i="20"/>
  <c r="J41" i="19"/>
  <c r="K47" i="19"/>
  <c r="N7" i="19"/>
  <c r="H44" i="19"/>
  <c r="G39" i="19"/>
  <c r="N13" i="19"/>
  <c r="F58" i="19"/>
  <c r="L41" i="19"/>
  <c r="H57" i="21"/>
  <c r="H59" i="21"/>
  <c r="D61" i="20"/>
  <c r="H43" i="21"/>
  <c r="M47" i="20"/>
  <c r="L46" i="22" s="1"/>
  <c r="M45" i="20"/>
  <c r="L37" i="22" s="1"/>
  <c r="H47" i="19"/>
  <c r="E58" i="19"/>
  <c r="M47" i="19"/>
  <c r="P49" i="20"/>
  <c r="N47" i="20"/>
  <c r="M47" i="22" s="1"/>
  <c r="G62" i="21"/>
  <c r="F10" i="19"/>
  <c r="M12" i="19"/>
  <c r="L12" i="19" s="1"/>
  <c r="N9" i="19"/>
  <c r="I48" i="19"/>
  <c r="M45" i="19"/>
  <c r="C51" i="19"/>
  <c r="L40" i="19"/>
  <c r="L39" i="20"/>
  <c r="N50" i="21"/>
  <c r="K53" i="21"/>
  <c r="L49" i="21"/>
  <c r="M23" i="19"/>
  <c r="L18" i="19"/>
  <c r="H53" i="20"/>
  <c r="P45" i="20"/>
  <c r="O37" i="22" s="1"/>
  <c r="O48" i="20"/>
  <c r="O8" i="19"/>
  <c r="P43" i="21"/>
  <c r="K51" i="20"/>
  <c r="J18" i="19"/>
  <c r="J43" i="22"/>
  <c r="I50" i="20"/>
  <c r="H41" i="19"/>
  <c r="H42" i="19"/>
  <c r="I42" i="19" s="1"/>
  <c r="K42" i="19" s="1"/>
  <c r="G61" i="21"/>
  <c r="L62" i="21"/>
  <c r="S18" i="21"/>
  <c r="O7" i="19"/>
  <c r="H44" i="22"/>
  <c r="M41" i="20"/>
  <c r="O40" i="19"/>
  <c r="O15" i="19"/>
  <c r="I59" i="19"/>
  <c r="H44" i="23"/>
  <c r="G25" i="19"/>
  <c r="K25" i="19"/>
  <c r="D41" i="19"/>
  <c r="D59" i="20"/>
  <c r="N51" i="21"/>
  <c r="K24" i="19"/>
  <c r="N55" i="19"/>
  <c r="I58" i="19"/>
  <c r="D38" i="19"/>
  <c r="J56" i="20"/>
  <c r="I59" i="22" s="1"/>
  <c r="M44" i="21"/>
  <c r="M17" i="19"/>
  <c r="I60" i="19"/>
  <c r="E57" i="20"/>
  <c r="H58" i="20"/>
  <c r="B45" i="18"/>
  <c r="M18" i="19"/>
  <c r="I51" i="19"/>
  <c r="I57" i="19"/>
  <c r="M15" i="19"/>
  <c r="N38" i="19"/>
  <c r="P22" i="19"/>
  <c r="N37" i="19"/>
  <c r="O40" i="21"/>
  <c r="M40" i="21"/>
  <c r="P20" i="19"/>
  <c r="F52" i="20"/>
  <c r="J37" i="19"/>
  <c r="O17" i="19"/>
  <c r="I49" i="19"/>
  <c r="N56" i="19"/>
  <c r="N54" i="19"/>
  <c r="N62" i="21"/>
  <c r="I27" i="19"/>
  <c r="M26" i="19"/>
  <c r="G10" i="19"/>
  <c r="H40" i="19"/>
  <c r="N11" i="19"/>
  <c r="L11" i="19" s="1"/>
  <c r="Q17" i="19"/>
  <c r="H37" i="19"/>
  <c r="M9" i="19"/>
  <c r="E58" i="21"/>
  <c r="E54" i="21"/>
  <c r="D50" i="23" s="1"/>
  <c r="Q29" i="19"/>
  <c r="G53" i="21"/>
  <c r="G51" i="21"/>
  <c r="M50" i="21"/>
  <c r="N51" i="19"/>
  <c r="J17" i="19"/>
  <c r="M25" i="19"/>
  <c r="L59" i="19"/>
  <c r="E57" i="19"/>
  <c r="L50" i="19"/>
  <c r="G53" i="19"/>
  <c r="E53" i="19" s="1"/>
  <c r="N50" i="19"/>
  <c r="I45" i="19"/>
  <c r="G7" i="19"/>
  <c r="I43" i="20"/>
  <c r="M56" i="20"/>
  <c r="L58" i="22" s="1"/>
  <c r="F56" i="20"/>
  <c r="E58" i="22" s="1"/>
  <c r="M24" i="19"/>
  <c r="K57" i="19"/>
  <c r="H30" i="19"/>
  <c r="J42" i="20"/>
  <c r="O50" i="21"/>
  <c r="N52" i="19"/>
  <c r="J15" i="19"/>
  <c r="H9" i="19"/>
  <c r="I47" i="19"/>
  <c r="M51" i="19"/>
  <c r="Q28" i="19"/>
  <c r="H27" i="19"/>
  <c r="L60" i="19"/>
  <c r="I49" i="20"/>
  <c r="F48" i="20"/>
  <c r="E43" i="20"/>
  <c r="H38" i="19"/>
  <c r="M49" i="19"/>
  <c r="Q27" i="19"/>
  <c r="L17" i="19"/>
  <c r="M7" i="19"/>
  <c r="F8" i="19"/>
  <c r="O54" i="21"/>
  <c r="N51" i="23" s="1"/>
  <c r="M54" i="21"/>
  <c r="L51" i="23" s="1"/>
  <c r="N15" i="19"/>
  <c r="G49" i="20"/>
  <c r="G54" i="19"/>
  <c r="I54" i="19" s="1"/>
  <c r="K54" i="19" s="1"/>
  <c r="H39" i="19"/>
  <c r="G54" i="22"/>
  <c r="P44" i="21"/>
  <c r="L51" i="19"/>
  <c r="I29" i="19"/>
  <c r="G56" i="19"/>
  <c r="L57" i="19"/>
  <c r="Q7" i="19"/>
  <c r="G55" i="19"/>
  <c r="I55" i="19" s="1"/>
  <c r="K55" i="19" s="1"/>
  <c r="L56" i="20"/>
  <c r="K59" i="22" s="1"/>
  <c r="E59" i="20"/>
  <c r="L16" i="19"/>
  <c r="M8" i="19"/>
  <c r="G8" i="19"/>
  <c r="D49" i="19"/>
  <c r="H10" i="19"/>
  <c r="K59" i="19"/>
  <c r="L49" i="19"/>
  <c r="L58" i="19"/>
  <c r="C60" i="19"/>
  <c r="L56" i="21"/>
  <c r="K60" i="23" s="1"/>
  <c r="L52" i="19"/>
  <c r="M50" i="19"/>
  <c r="J27" i="19"/>
  <c r="G23" i="19"/>
  <c r="G51" i="19"/>
  <c r="M62" i="20"/>
  <c r="G49" i="19"/>
  <c r="G50" i="19"/>
  <c r="I40" i="21"/>
  <c r="K12" i="19"/>
  <c r="J30" i="20"/>
  <c r="G24" i="19"/>
  <c r="M28" i="19"/>
  <c r="D41" i="22"/>
  <c r="I30" i="19"/>
  <c r="D43" i="23"/>
  <c r="K14" i="19"/>
  <c r="F57" i="20"/>
  <c r="E54" i="20"/>
  <c r="D50" i="22" s="1"/>
  <c r="J44" i="19"/>
  <c r="I57" i="21"/>
  <c r="J50" i="19"/>
  <c r="O10" i="19"/>
  <c r="D50" i="19"/>
  <c r="D51" i="19"/>
  <c r="J46" i="19"/>
  <c r="K62" i="20"/>
  <c r="N54" i="20"/>
  <c r="M51" i="22" s="1"/>
  <c r="P53" i="20"/>
  <c r="I45" i="21"/>
  <c r="H39" i="23" s="1"/>
  <c r="L56" i="19"/>
  <c r="J51" i="19"/>
  <c r="J52" i="21"/>
  <c r="J28" i="19"/>
  <c r="N44" i="19"/>
  <c r="P51" i="21"/>
  <c r="K27" i="19"/>
  <c r="J30" i="19"/>
  <c r="N60" i="20"/>
  <c r="J38" i="19"/>
  <c r="E50" i="19"/>
  <c r="J49" i="19"/>
  <c r="M14" i="19"/>
  <c r="N53" i="19"/>
  <c r="G41" i="21"/>
  <c r="O49" i="21"/>
  <c r="H54" i="21"/>
  <c r="G52" i="23" s="1"/>
  <c r="K58" i="20"/>
  <c r="I62" i="20"/>
  <c r="K49" i="20"/>
  <c r="I51" i="20"/>
  <c r="G48" i="21"/>
  <c r="J53" i="21"/>
  <c r="O51" i="21"/>
  <c r="J54" i="21"/>
  <c r="I52" i="23" s="1"/>
  <c r="N52" i="21"/>
  <c r="K41" i="20"/>
  <c r="J45" i="21"/>
  <c r="I39" i="23" s="1"/>
  <c r="P56" i="20"/>
  <c r="O59" i="22" s="1"/>
  <c r="K30" i="19"/>
  <c r="K48" i="19"/>
  <c r="P19" i="19"/>
  <c r="J48" i="19"/>
  <c r="E52" i="19"/>
  <c r="L38" i="19"/>
  <c r="L54" i="19"/>
  <c r="J39" i="21"/>
  <c r="G52" i="20"/>
  <c r="J52" i="19"/>
  <c r="J57" i="20"/>
  <c r="H41" i="21"/>
  <c r="M48" i="20"/>
  <c r="P54" i="20"/>
  <c r="O51" i="22" s="1"/>
  <c r="I50" i="19"/>
  <c r="D60" i="21"/>
  <c r="J45" i="20"/>
  <c r="I40" i="22" s="1"/>
  <c r="O57" i="19"/>
  <c r="J39" i="19"/>
  <c r="G52" i="19"/>
  <c r="K11" i="19"/>
  <c r="D43" i="19"/>
  <c r="D37" i="19"/>
  <c r="D40" i="19"/>
  <c r="Q9" i="19"/>
  <c r="K40" i="19"/>
  <c r="M13" i="19"/>
  <c r="K42" i="21"/>
  <c r="P54" i="21"/>
  <c r="O51" i="23" s="1"/>
  <c r="N41" i="19"/>
  <c r="G26" i="19"/>
  <c r="M45" i="21"/>
  <c r="L39" i="23" s="1"/>
  <c r="D58" i="21"/>
  <c r="J58" i="20"/>
  <c r="M22" i="19"/>
  <c r="D56" i="20"/>
  <c r="C57" i="22" s="1"/>
  <c r="J44" i="20"/>
  <c r="F62" i="20"/>
  <c r="O61" i="20"/>
  <c r="K48" i="21"/>
  <c r="E60" i="20"/>
  <c r="D50" i="20"/>
  <c r="H57" i="19"/>
  <c r="N8" i="19"/>
  <c r="D42" i="19"/>
  <c r="O50" i="19"/>
  <c r="O52" i="19"/>
  <c r="L55" i="19"/>
  <c r="N42" i="19"/>
  <c r="I42" i="21"/>
  <c r="N39" i="19"/>
  <c r="F54" i="20"/>
  <c r="E51" i="22" s="1"/>
  <c r="J43" i="21"/>
  <c r="N43" i="20"/>
  <c r="N42" i="23"/>
  <c r="O54" i="20"/>
  <c r="N51" i="22" s="1"/>
  <c r="D51" i="21"/>
  <c r="L48" i="19"/>
  <c r="N55" i="22"/>
  <c r="J40" i="19"/>
  <c r="O45" i="21"/>
  <c r="N39" i="23" s="1"/>
  <c r="K52" i="20"/>
  <c r="E51" i="19"/>
  <c r="N44" i="20"/>
  <c r="E45" i="21"/>
  <c r="D38" i="23" s="1"/>
  <c r="N42" i="21"/>
  <c r="H48" i="20"/>
  <c r="N58" i="20"/>
  <c r="N61" i="21"/>
  <c r="O57" i="20"/>
  <c r="L53" i="19"/>
  <c r="F51" i="20"/>
  <c r="E45" i="20"/>
  <c r="D38" i="22" s="1"/>
  <c r="N41" i="21"/>
  <c r="N43" i="19"/>
  <c r="P61" i="20"/>
  <c r="N57" i="20"/>
  <c r="K45" i="21"/>
  <c r="J38" i="23" s="1"/>
  <c r="K54" i="20"/>
  <c r="J50" i="22" s="1"/>
  <c r="J61" i="20"/>
  <c r="P50" i="20"/>
  <c r="M61" i="20"/>
  <c r="B19" i="18"/>
  <c r="B10" i="18"/>
  <c r="B27" i="18"/>
  <c r="M52" i="20"/>
  <c r="I19" i="19"/>
  <c r="J47" i="20"/>
  <c r="I47" i="22" s="1"/>
  <c r="O41" i="20"/>
  <c r="I60" i="21"/>
  <c r="I56" i="21"/>
  <c r="H59" i="23" s="1"/>
  <c r="F53" i="20"/>
  <c r="L56" i="23"/>
  <c r="I47" i="20"/>
  <c r="H47" i="22" s="1"/>
  <c r="E53" i="20"/>
  <c r="N40" i="21"/>
  <c r="F42" i="20"/>
  <c r="B55" i="18"/>
  <c r="N59" i="20"/>
  <c r="L40" i="21"/>
  <c r="G44" i="21"/>
  <c r="B25" i="18"/>
  <c r="Q22" i="19"/>
  <c r="C45" i="19"/>
  <c r="P58" i="20"/>
  <c r="F40" i="21"/>
  <c r="L45" i="20"/>
  <c r="K40" i="22" s="1"/>
  <c r="H60" i="20"/>
  <c r="H44" i="20"/>
  <c r="P57" i="21"/>
  <c r="F53" i="22"/>
  <c r="M20" i="19"/>
  <c r="C46" i="19"/>
  <c r="F55" i="19"/>
  <c r="O43" i="20"/>
  <c r="F50" i="20"/>
  <c r="L45" i="21"/>
  <c r="K39" i="23" s="1"/>
  <c r="F56" i="23"/>
  <c r="G42" i="20"/>
  <c r="F54" i="19"/>
  <c r="F56" i="19"/>
  <c r="C47" i="19"/>
  <c r="E48" i="20"/>
  <c r="L41" i="20"/>
  <c r="M19" i="19"/>
  <c r="D47" i="20"/>
  <c r="C48" i="22" s="1"/>
  <c r="E61" i="20"/>
  <c r="N53" i="20"/>
  <c r="F46" i="19"/>
  <c r="C48" i="19"/>
  <c r="J62" i="20"/>
  <c r="G47" i="20"/>
  <c r="F48" i="22" s="1"/>
  <c r="H46" i="23"/>
  <c r="H47" i="23"/>
  <c r="H48" i="23"/>
  <c r="H45" i="23"/>
  <c r="M50" i="23"/>
  <c r="M51" i="23"/>
  <c r="M52" i="23"/>
  <c r="M49" i="23"/>
  <c r="B24" i="18"/>
  <c r="P24" i="21"/>
  <c r="P24" i="20"/>
  <c r="Q12" i="21"/>
  <c r="Q12" i="20"/>
  <c r="N23" i="19"/>
  <c r="P23" i="19" s="1"/>
  <c r="R23" i="19" s="1"/>
  <c r="G50" i="22"/>
  <c r="G51" i="22"/>
  <c r="G52" i="22"/>
  <c r="G49" i="22"/>
  <c r="O11" i="19"/>
  <c r="O19" i="21"/>
  <c r="O19" i="20"/>
  <c r="K7" i="21"/>
  <c r="K7" i="20"/>
  <c r="Q19" i="21"/>
  <c r="Q19" i="20"/>
  <c r="N21" i="21"/>
  <c r="N21" i="20"/>
  <c r="L21" i="19"/>
  <c r="M22" i="21"/>
  <c r="M22" i="20"/>
  <c r="G30" i="21"/>
  <c r="G30" i="20"/>
  <c r="G16" i="21"/>
  <c r="G16" i="20"/>
  <c r="G18" i="21"/>
  <c r="G18" i="20"/>
  <c r="N28" i="21"/>
  <c r="N28" i="20"/>
  <c r="I22" i="21"/>
  <c r="I22" i="20"/>
  <c r="L22" i="21"/>
  <c r="L22" i="20"/>
  <c r="G27" i="20"/>
  <c r="G27" i="21"/>
  <c r="B51" i="18"/>
  <c r="B49" i="18"/>
  <c r="F58" i="20"/>
  <c r="E52" i="21"/>
  <c r="L51" i="20"/>
  <c r="H49" i="20"/>
  <c r="E46" i="23"/>
  <c r="E47" i="23"/>
  <c r="E48" i="23"/>
  <c r="E45" i="23"/>
  <c r="H56" i="20"/>
  <c r="L52" i="22"/>
  <c r="L49" i="22"/>
  <c r="L50" i="22"/>
  <c r="L51" i="22"/>
  <c r="G47" i="21"/>
  <c r="D54" i="23"/>
  <c r="D53" i="23"/>
  <c r="D55" i="23"/>
  <c r="D56" i="23"/>
  <c r="O48" i="23"/>
  <c r="O45" i="23"/>
  <c r="O47" i="23"/>
  <c r="O46" i="23"/>
  <c r="K19" i="21"/>
  <c r="K19" i="20"/>
  <c r="N24" i="21"/>
  <c r="N24" i="20"/>
  <c r="G10" i="21"/>
  <c r="G10" i="20"/>
  <c r="O20" i="21"/>
  <c r="O20" i="20"/>
  <c r="L27" i="21"/>
  <c r="L27" i="20"/>
  <c r="I17" i="21"/>
  <c r="I17" i="20"/>
  <c r="R25" i="21"/>
  <c r="R25" i="20"/>
  <c r="J13" i="21"/>
  <c r="J13" i="20"/>
  <c r="B21" i="18"/>
  <c r="P21" i="21"/>
  <c r="P21" i="20"/>
  <c r="M28" i="21"/>
  <c r="M28" i="20"/>
  <c r="H28" i="21"/>
  <c r="H28" i="20"/>
  <c r="B47" i="18"/>
  <c r="N17" i="21"/>
  <c r="N17" i="20"/>
  <c r="H18" i="19"/>
  <c r="I15" i="21"/>
  <c r="I15" i="20"/>
  <c r="E39" i="23"/>
  <c r="E40" i="23"/>
  <c r="E37" i="23"/>
  <c r="E38" i="23"/>
  <c r="L20" i="21"/>
  <c r="L20" i="20"/>
  <c r="O16" i="21"/>
  <c r="O16" i="20"/>
  <c r="L15" i="21"/>
  <c r="L15" i="20"/>
  <c r="N21" i="19"/>
  <c r="O22" i="21"/>
  <c r="O22" i="20"/>
  <c r="K9" i="19"/>
  <c r="L13" i="21"/>
  <c r="L13" i="20"/>
  <c r="S25" i="21"/>
  <c r="S25" i="20"/>
  <c r="J7" i="21"/>
  <c r="J7" i="20"/>
  <c r="D58" i="23"/>
  <c r="D59" i="23"/>
  <c r="D60" i="23"/>
  <c r="D57" i="23"/>
  <c r="J27" i="21"/>
  <c r="J27" i="20"/>
  <c r="J17" i="21"/>
  <c r="J17" i="20"/>
  <c r="H17" i="21"/>
  <c r="H17" i="20"/>
  <c r="P28" i="21"/>
  <c r="P28" i="20"/>
  <c r="Q25" i="21"/>
  <c r="Q25" i="20"/>
  <c r="F16" i="19"/>
  <c r="G15" i="21"/>
  <c r="G15" i="20"/>
  <c r="L7" i="21"/>
  <c r="L7" i="20"/>
  <c r="P20" i="21"/>
  <c r="P20" i="20"/>
  <c r="B41" i="18"/>
  <c r="M60" i="20"/>
  <c r="D48" i="21"/>
  <c r="G47" i="23"/>
  <c r="H38" i="22"/>
  <c r="H39" i="22"/>
  <c r="H37" i="22"/>
  <c r="H40" i="22"/>
  <c r="I51" i="22"/>
  <c r="I52" i="22"/>
  <c r="I49" i="22"/>
  <c r="I50" i="22"/>
  <c r="D52" i="21"/>
  <c r="H56" i="21"/>
  <c r="F45" i="19"/>
  <c r="M11" i="21"/>
  <c r="M11" i="20"/>
  <c r="J12" i="21"/>
  <c r="J12" i="20"/>
  <c r="B53" i="18"/>
  <c r="B8" i="18"/>
  <c r="H8" i="21"/>
  <c r="H8" i="20"/>
  <c r="G20" i="21"/>
  <c r="G20" i="20"/>
  <c r="H30" i="21"/>
  <c r="H30" i="20"/>
  <c r="L16" i="21"/>
  <c r="L16" i="20"/>
  <c r="L28" i="21"/>
  <c r="L28" i="20"/>
  <c r="G25" i="21"/>
  <c r="G25" i="20"/>
  <c r="Q8" i="21"/>
  <c r="Q8" i="20"/>
  <c r="P17" i="21"/>
  <c r="P17" i="20"/>
  <c r="H21" i="21"/>
  <c r="H21" i="20"/>
  <c r="K22" i="21"/>
  <c r="K22" i="20"/>
  <c r="N10" i="21"/>
  <c r="N10" i="20"/>
  <c r="L10" i="21"/>
  <c r="L10" i="20"/>
  <c r="L12" i="21"/>
  <c r="L12" i="20"/>
  <c r="Q24" i="21"/>
  <c r="Q24" i="20"/>
  <c r="L30" i="21"/>
  <c r="L30" i="20"/>
  <c r="S10" i="21"/>
  <c r="S10" i="20"/>
  <c r="J16" i="21"/>
  <c r="J16" i="20"/>
  <c r="M19" i="21"/>
  <c r="M19" i="20"/>
  <c r="M24" i="21"/>
  <c r="M24" i="20"/>
  <c r="K16" i="21"/>
  <c r="K16" i="20"/>
  <c r="P22" i="21"/>
  <c r="P22" i="20"/>
  <c r="M8" i="21"/>
  <c r="M8" i="20"/>
  <c r="O27" i="21"/>
  <c r="O27" i="20"/>
  <c r="D47" i="23"/>
  <c r="D48" i="23"/>
  <c r="D45" i="23"/>
  <c r="D46" i="23"/>
  <c r="J18" i="21"/>
  <c r="J18" i="20"/>
  <c r="P12" i="21"/>
  <c r="P12" i="20"/>
  <c r="D59" i="22"/>
  <c r="D60" i="22"/>
  <c r="D58" i="22"/>
  <c r="D57" i="22"/>
  <c r="O18" i="21"/>
  <c r="O18" i="20"/>
  <c r="B58" i="18"/>
  <c r="B40" i="18"/>
  <c r="F15" i="19"/>
  <c r="N25" i="19"/>
  <c r="K49" i="19"/>
  <c r="E50" i="20"/>
  <c r="P62" i="20"/>
  <c r="O58" i="20"/>
  <c r="J50" i="23"/>
  <c r="J51" i="23"/>
  <c r="J52" i="23"/>
  <c r="J49" i="23"/>
  <c r="I58" i="21"/>
  <c r="J49" i="20"/>
  <c r="J53" i="22"/>
  <c r="J56" i="22"/>
  <c r="J54" i="22"/>
  <c r="J55" i="22"/>
  <c r="L52" i="21"/>
  <c r="D42" i="20"/>
  <c r="L59" i="20"/>
  <c r="M37" i="22"/>
  <c r="M38" i="22"/>
  <c r="M39" i="22"/>
  <c r="M40" i="22"/>
  <c r="I27" i="21"/>
  <c r="I27" i="20"/>
  <c r="I30" i="21"/>
  <c r="I30" i="20"/>
  <c r="S12" i="21"/>
  <c r="S12" i="20"/>
  <c r="O7" i="21"/>
  <c r="O7" i="20"/>
  <c r="H25" i="21"/>
  <c r="H25" i="20"/>
  <c r="L11" i="21"/>
  <c r="L11" i="20"/>
  <c r="O13" i="21"/>
  <c r="O13" i="20"/>
  <c r="S11" i="21"/>
  <c r="S11" i="20"/>
  <c r="L25" i="21"/>
  <c r="L25" i="20"/>
  <c r="P19" i="21"/>
  <c r="P19" i="20"/>
  <c r="M17" i="21"/>
  <c r="M17" i="20"/>
  <c r="K20" i="21"/>
  <c r="K20" i="20"/>
  <c r="J21" i="21"/>
  <c r="J21" i="20"/>
  <c r="K30" i="21"/>
  <c r="K30" i="20"/>
  <c r="O17" i="21"/>
  <c r="O17" i="20"/>
  <c r="I9" i="21"/>
  <c r="I9" i="20"/>
  <c r="P25" i="21"/>
  <c r="P25" i="20"/>
  <c r="G7" i="20"/>
  <c r="G7" i="21"/>
  <c r="G29" i="21"/>
  <c r="G29" i="20"/>
  <c r="K10" i="21"/>
  <c r="K10" i="20"/>
  <c r="G19" i="21"/>
  <c r="G19" i="20"/>
  <c r="N27" i="21"/>
  <c r="N27" i="20"/>
  <c r="Q28" i="21"/>
  <c r="Q28" i="20"/>
  <c r="L26" i="21"/>
  <c r="L26" i="20"/>
  <c r="L19" i="21"/>
  <c r="L19" i="20"/>
  <c r="R21" i="21"/>
  <c r="R21" i="20"/>
  <c r="Q10" i="21"/>
  <c r="Q10" i="20"/>
  <c r="N26" i="21"/>
  <c r="N26" i="20"/>
  <c r="G12" i="19"/>
  <c r="N24" i="19"/>
  <c r="J19" i="21"/>
  <c r="J19" i="20"/>
  <c r="G13" i="19"/>
  <c r="N57" i="19"/>
  <c r="B61" i="18"/>
  <c r="K19" i="19"/>
  <c r="K21" i="19"/>
  <c r="F41" i="19"/>
  <c r="R10" i="19"/>
  <c r="L54" i="20"/>
  <c r="J56" i="23"/>
  <c r="J55" i="23"/>
  <c r="J53" i="23"/>
  <c r="J54" i="23"/>
  <c r="C58" i="23"/>
  <c r="C59" i="23"/>
  <c r="C60" i="23"/>
  <c r="C57" i="23"/>
  <c r="O29" i="19"/>
  <c r="M38" i="23"/>
  <c r="M39" i="23"/>
  <c r="M40" i="23"/>
  <c r="M37" i="23"/>
  <c r="P13" i="21"/>
  <c r="P13" i="20"/>
  <c r="S8" i="21"/>
  <c r="S8" i="20"/>
  <c r="S9" i="21"/>
  <c r="S9" i="20"/>
  <c r="I11" i="21"/>
  <c r="I11" i="20"/>
  <c r="K9" i="21"/>
  <c r="K9" i="20"/>
  <c r="G11" i="21"/>
  <c r="G11" i="20"/>
  <c r="Q30" i="21"/>
  <c r="Q30" i="20"/>
  <c r="J11" i="21"/>
  <c r="J11" i="20"/>
  <c r="P29" i="21"/>
  <c r="P29" i="20"/>
  <c r="I10" i="21"/>
  <c r="I10" i="20"/>
  <c r="R8" i="21"/>
  <c r="R8" i="20"/>
  <c r="S20" i="21"/>
  <c r="S20" i="20"/>
  <c r="I20" i="21"/>
  <c r="I20" i="20"/>
  <c r="O21" i="21"/>
  <c r="O21" i="20"/>
  <c r="M27" i="21"/>
  <c r="M27" i="20"/>
  <c r="R16" i="21"/>
  <c r="R16" i="20"/>
  <c r="O11" i="21"/>
  <c r="O11" i="20"/>
  <c r="J15" i="21"/>
  <c r="J15" i="20"/>
  <c r="S29" i="21"/>
  <c r="S29" i="20"/>
  <c r="O24" i="21"/>
  <c r="O24" i="20"/>
  <c r="H15" i="21"/>
  <c r="H15" i="20"/>
  <c r="N44" i="22"/>
  <c r="N43" i="22"/>
  <c r="N41" i="22"/>
  <c r="N42" i="22"/>
  <c r="L41" i="22"/>
  <c r="L44" i="22"/>
  <c r="L43" i="22"/>
  <c r="L42" i="22"/>
  <c r="M59" i="20"/>
  <c r="H54" i="23"/>
  <c r="F44" i="19"/>
  <c r="L17" i="21"/>
  <c r="L17" i="20"/>
  <c r="P10" i="19"/>
  <c r="Q13" i="21"/>
  <c r="Q13" i="20"/>
  <c r="H26" i="21"/>
  <c r="H26" i="20"/>
  <c r="M9" i="21"/>
  <c r="M9" i="20"/>
  <c r="S16" i="21"/>
  <c r="S16" i="20"/>
  <c r="G28" i="21"/>
  <c r="G28" i="20"/>
  <c r="G26" i="21"/>
  <c r="G26" i="20"/>
  <c r="J25" i="21"/>
  <c r="J25" i="20"/>
  <c r="R26" i="21"/>
  <c r="R26" i="20"/>
  <c r="I23" i="19"/>
  <c r="H27" i="21"/>
  <c r="H27" i="20"/>
  <c r="K28" i="21"/>
  <c r="K28" i="20"/>
  <c r="I12" i="21"/>
  <c r="I12" i="20"/>
  <c r="H10" i="21"/>
  <c r="H10" i="20"/>
  <c r="M25" i="21"/>
  <c r="M25" i="20"/>
  <c r="I8" i="21"/>
  <c r="I8" i="20"/>
  <c r="H18" i="21"/>
  <c r="H18" i="20"/>
  <c r="M18" i="21"/>
  <c r="M18" i="20"/>
  <c r="F38" i="23"/>
  <c r="F40" i="23"/>
  <c r="F37" i="23"/>
  <c r="F39" i="23"/>
  <c r="O26" i="21"/>
  <c r="O26" i="20"/>
  <c r="Q16" i="21"/>
  <c r="Q16" i="20"/>
  <c r="N12" i="21"/>
  <c r="N12" i="20"/>
  <c r="Q21" i="21"/>
  <c r="Q21" i="20"/>
  <c r="F28" i="19"/>
  <c r="G24" i="21"/>
  <c r="G24" i="20"/>
  <c r="J26" i="21"/>
  <c r="J26" i="20"/>
  <c r="M7" i="21"/>
  <c r="M7" i="20"/>
  <c r="S22" i="21"/>
  <c r="S22" i="20"/>
  <c r="P9" i="21"/>
  <c r="P9" i="20"/>
  <c r="P18" i="21"/>
  <c r="P18" i="20"/>
  <c r="G12" i="21"/>
  <c r="G12" i="20"/>
  <c r="R12" i="21"/>
  <c r="R12" i="20"/>
  <c r="D55" i="22"/>
  <c r="D54" i="22"/>
  <c r="D53" i="22"/>
  <c r="D56" i="22"/>
  <c r="L54" i="21"/>
  <c r="O44" i="20"/>
  <c r="G59" i="19"/>
  <c r="K50" i="19"/>
  <c r="F18" i="19"/>
  <c r="L19" i="19"/>
  <c r="I59" i="23"/>
  <c r="I58" i="23"/>
  <c r="I60" i="23"/>
  <c r="I57" i="23"/>
  <c r="K51" i="19"/>
  <c r="L59" i="23"/>
  <c r="L60" i="23"/>
  <c r="L57" i="23"/>
  <c r="L58" i="23"/>
  <c r="L44" i="23"/>
  <c r="L43" i="23"/>
  <c r="L41" i="23"/>
  <c r="L42" i="23"/>
  <c r="K22" i="19"/>
  <c r="L53" i="20"/>
  <c r="R20" i="21"/>
  <c r="R20" i="20"/>
  <c r="Q15" i="19"/>
  <c r="R15" i="21"/>
  <c r="R15" i="20"/>
  <c r="F22" i="19"/>
  <c r="G22" i="21"/>
  <c r="G22" i="20"/>
  <c r="I16" i="21"/>
  <c r="I16" i="20"/>
  <c r="H20" i="21"/>
  <c r="H20" i="20"/>
  <c r="J8" i="21"/>
  <c r="J8" i="20"/>
  <c r="S26" i="21"/>
  <c r="S26" i="20"/>
  <c r="S24" i="21"/>
  <c r="S24" i="20"/>
  <c r="N8" i="21"/>
  <c r="N8" i="20"/>
  <c r="O28" i="21"/>
  <c r="O28" i="20"/>
  <c r="P26" i="21"/>
  <c r="P26" i="20"/>
  <c r="L24" i="21"/>
  <c r="L24" i="20"/>
  <c r="R10" i="21"/>
  <c r="R10" i="20"/>
  <c r="M10" i="21"/>
  <c r="M10" i="20"/>
  <c r="H11" i="21"/>
  <c r="H11" i="20"/>
  <c r="O30" i="21"/>
  <c r="O30" i="20"/>
  <c r="H22" i="21"/>
  <c r="H22" i="20"/>
  <c r="L9" i="21"/>
  <c r="L9" i="20"/>
  <c r="J10" i="21"/>
  <c r="J10" i="20"/>
  <c r="G21" i="21"/>
  <c r="G21" i="20"/>
  <c r="H9" i="21"/>
  <c r="H9" i="20"/>
  <c r="K8" i="21"/>
  <c r="K8" i="20"/>
  <c r="L21" i="21"/>
  <c r="L21" i="20"/>
  <c r="S7" i="21"/>
  <c r="S7" i="20"/>
  <c r="P8" i="21"/>
  <c r="P8" i="20"/>
  <c r="H24" i="21"/>
  <c r="H24" i="20"/>
  <c r="M13" i="21"/>
  <c r="M13" i="20"/>
  <c r="M29" i="21"/>
  <c r="M29" i="20"/>
  <c r="P16" i="21"/>
  <c r="P16" i="20"/>
  <c r="L46" i="23"/>
  <c r="L48" i="23"/>
  <c r="L45" i="23"/>
  <c r="L47" i="23"/>
  <c r="F47" i="19"/>
  <c r="G58" i="19"/>
  <c r="B52" i="18"/>
  <c r="H22" i="19"/>
  <c r="M59" i="23"/>
  <c r="O38" i="22"/>
  <c r="O39" i="22"/>
  <c r="N49" i="21"/>
  <c r="J37" i="22"/>
  <c r="J38" i="22"/>
  <c r="J39" i="22"/>
  <c r="J40" i="22"/>
  <c r="H19" i="19"/>
  <c r="M42" i="20"/>
  <c r="Q11" i="21"/>
  <c r="Q11" i="20"/>
  <c r="M20" i="21"/>
  <c r="M20" i="20"/>
  <c r="H19" i="21"/>
  <c r="H19" i="20"/>
  <c r="N9" i="21"/>
  <c r="N9" i="20"/>
  <c r="Q22" i="21"/>
  <c r="Q22" i="20"/>
  <c r="I25" i="21"/>
  <c r="I25" i="20"/>
  <c r="I19" i="21"/>
  <c r="I19" i="20"/>
  <c r="N54" i="23"/>
  <c r="N53" i="23"/>
  <c r="N55" i="23"/>
  <c r="N56" i="23"/>
  <c r="O8" i="21"/>
  <c r="O8" i="20"/>
  <c r="S28" i="21"/>
  <c r="S28" i="20"/>
  <c r="L18" i="21"/>
  <c r="L18" i="20"/>
  <c r="J28" i="21"/>
  <c r="J28" i="20"/>
  <c r="R11" i="21"/>
  <c r="R11" i="20"/>
  <c r="O12" i="21"/>
  <c r="O12" i="20"/>
  <c r="K12" i="21"/>
  <c r="K12" i="20"/>
  <c r="N15" i="21"/>
  <c r="N15" i="20"/>
  <c r="P7" i="21"/>
  <c r="P7" i="20"/>
  <c r="R9" i="21"/>
  <c r="R9" i="20"/>
  <c r="P15" i="21"/>
  <c r="P15" i="20"/>
  <c r="G8" i="21"/>
  <c r="G8" i="20"/>
  <c r="G56" i="23"/>
  <c r="G55" i="23"/>
  <c r="G54" i="23"/>
  <c r="G53" i="23"/>
  <c r="O25" i="21"/>
  <c r="O25" i="20"/>
  <c r="K29" i="21"/>
  <c r="K29" i="20"/>
  <c r="L8" i="21"/>
  <c r="L8" i="20"/>
  <c r="I26" i="21"/>
  <c r="I26" i="20"/>
  <c r="M12" i="21"/>
  <c r="M12" i="20"/>
  <c r="Q9" i="21"/>
  <c r="Q9" i="20"/>
  <c r="R28" i="21"/>
  <c r="R28" i="20"/>
  <c r="G60" i="19"/>
  <c r="J60" i="20"/>
  <c r="G50" i="20"/>
  <c r="G40" i="20"/>
  <c r="J46" i="22"/>
  <c r="J48" i="22"/>
  <c r="J45" i="22"/>
  <c r="J47" i="22"/>
  <c r="O38" i="23"/>
  <c r="O39" i="23"/>
  <c r="O40" i="23"/>
  <c r="O37" i="23"/>
  <c r="P42" i="20"/>
  <c r="E51" i="20"/>
  <c r="O58" i="23"/>
  <c r="O59" i="23"/>
  <c r="O60" i="23"/>
  <c r="O57" i="23"/>
  <c r="J20" i="21"/>
  <c r="J20" i="20"/>
  <c r="K24" i="21"/>
  <c r="K24" i="20"/>
  <c r="N25" i="21"/>
  <c r="N25" i="20"/>
  <c r="S21" i="21"/>
  <c r="S21" i="20"/>
  <c r="I29" i="21"/>
  <c r="I29" i="20"/>
  <c r="Q20" i="21"/>
  <c r="Q20" i="20"/>
  <c r="R30" i="21"/>
  <c r="R30" i="20"/>
  <c r="J24" i="21"/>
  <c r="J24" i="20"/>
  <c r="I28" i="21"/>
  <c r="I28" i="20"/>
  <c r="J9" i="21"/>
  <c r="J9" i="20"/>
  <c r="I18" i="21"/>
  <c r="I18" i="20"/>
  <c r="N16" i="19"/>
  <c r="O15" i="21"/>
  <c r="O15" i="20"/>
  <c r="R7" i="21"/>
  <c r="R7" i="20"/>
  <c r="Q26" i="21"/>
  <c r="Q26" i="20"/>
  <c r="I46" i="23"/>
  <c r="I47" i="23"/>
  <c r="I48" i="23"/>
  <c r="I45" i="23"/>
  <c r="I7" i="21"/>
  <c r="I7" i="20"/>
  <c r="Q10" i="19"/>
  <c r="R13" i="21"/>
  <c r="R13" i="20"/>
  <c r="H29" i="21"/>
  <c r="H29" i="20"/>
  <c r="G13" i="21"/>
  <c r="G13" i="20"/>
  <c r="M16" i="21"/>
  <c r="M16" i="20"/>
  <c r="I13" i="21"/>
  <c r="I13" i="20"/>
  <c r="S27" i="21"/>
  <c r="S27" i="20"/>
  <c r="N16" i="21"/>
  <c r="N16" i="20"/>
  <c r="Q17" i="21"/>
  <c r="Q17" i="20"/>
  <c r="K25" i="21"/>
  <c r="K25" i="20"/>
  <c r="C38" i="23"/>
  <c r="C37" i="23"/>
  <c r="C40" i="23"/>
  <c r="P27" i="21"/>
  <c r="P27" i="20"/>
  <c r="S13" i="21"/>
  <c r="S13" i="20"/>
  <c r="S19" i="21"/>
  <c r="S19" i="20"/>
  <c r="P16" i="19"/>
  <c r="Q15" i="21"/>
  <c r="Q15" i="20"/>
  <c r="P10" i="21"/>
  <c r="P10" i="20"/>
  <c r="P18" i="19"/>
  <c r="B13" i="18"/>
  <c r="O30" i="19"/>
  <c r="P15" i="19"/>
  <c r="H21" i="19"/>
  <c r="H20" i="19"/>
  <c r="L20" i="19"/>
  <c r="P60" i="21"/>
  <c r="F50" i="22"/>
  <c r="F51" i="22"/>
  <c r="F52" i="22"/>
  <c r="F49" i="22"/>
  <c r="J42" i="23"/>
  <c r="J41" i="23"/>
  <c r="J43" i="23"/>
  <c r="J44" i="23"/>
  <c r="G59" i="20"/>
  <c r="N48" i="21"/>
  <c r="H7" i="21"/>
  <c r="H7" i="20"/>
  <c r="O9" i="21"/>
  <c r="O9" i="20"/>
  <c r="P30" i="21"/>
  <c r="P30" i="20"/>
  <c r="S17" i="21"/>
  <c r="S17" i="20"/>
  <c r="C48" i="23"/>
  <c r="C45" i="23"/>
  <c r="C47" i="23"/>
  <c r="C46" i="23"/>
  <c r="J29" i="21"/>
  <c r="J29" i="20"/>
  <c r="H16" i="21"/>
  <c r="H16" i="20"/>
  <c r="N7" i="21"/>
  <c r="N7" i="20"/>
  <c r="R19" i="21"/>
  <c r="R19" i="20"/>
  <c r="N22" i="21"/>
  <c r="N22" i="20"/>
  <c r="K27" i="21"/>
  <c r="K27" i="20"/>
  <c r="M26" i="21"/>
  <c r="M26" i="20"/>
  <c r="J22" i="21"/>
  <c r="J22" i="20"/>
  <c r="R22" i="21"/>
  <c r="R22" i="20"/>
  <c r="Q7" i="21"/>
  <c r="Q7" i="20"/>
  <c r="S15" i="21"/>
  <c r="S15" i="20"/>
  <c r="K13" i="21"/>
  <c r="K13" i="20"/>
  <c r="N11" i="21"/>
  <c r="N11" i="20"/>
  <c r="H12" i="21"/>
  <c r="H12" i="20"/>
  <c r="N19" i="21"/>
  <c r="N19" i="20"/>
  <c r="R17" i="21"/>
  <c r="R17" i="20"/>
  <c r="H51" i="23"/>
  <c r="H52" i="23"/>
  <c r="H49" i="23"/>
  <c r="H50" i="23"/>
  <c r="L56" i="22"/>
  <c r="L55" i="22"/>
  <c r="L53" i="22"/>
  <c r="L54" i="22"/>
  <c r="N20" i="21"/>
  <c r="N20" i="20"/>
  <c r="N30" i="21"/>
  <c r="N30" i="20"/>
  <c r="P11" i="21"/>
  <c r="P11" i="20"/>
  <c r="Q18" i="21"/>
  <c r="Q18" i="20"/>
  <c r="D46" i="22"/>
  <c r="D48" i="22"/>
  <c r="D45" i="22"/>
  <c r="D47" i="22"/>
  <c r="O46" i="22"/>
  <c r="O47" i="22"/>
  <c r="O45" i="22"/>
  <c r="O48" i="22"/>
  <c r="N29" i="21"/>
  <c r="N29" i="20"/>
  <c r="R27" i="21"/>
  <c r="R27" i="20"/>
  <c r="B50" i="18"/>
  <c r="K20" i="19"/>
  <c r="H50" i="22"/>
  <c r="H52" i="22"/>
  <c r="H49" i="22"/>
  <c r="H51" i="22"/>
  <c r="G56" i="22"/>
  <c r="G55" i="22"/>
  <c r="G53" i="22"/>
  <c r="E51" i="23"/>
  <c r="E52" i="23"/>
  <c r="E49" i="23"/>
  <c r="E50" i="23"/>
  <c r="O62" i="21"/>
  <c r="C40" i="22"/>
  <c r="C39" i="22"/>
  <c r="C38" i="22"/>
  <c r="C37" i="22"/>
  <c r="N46" i="22"/>
  <c r="N47" i="22"/>
  <c r="N48" i="22"/>
  <c r="N45" i="22"/>
  <c r="L22" i="19"/>
  <c r="M15" i="21"/>
  <c r="M15" i="20"/>
  <c r="Q27" i="21"/>
  <c r="Q27" i="20"/>
  <c r="H13" i="21"/>
  <c r="H13" i="20"/>
  <c r="L29" i="21"/>
  <c r="L29" i="20"/>
  <c r="I21" i="21"/>
  <c r="I21" i="20"/>
  <c r="K17" i="21"/>
  <c r="K17" i="20"/>
  <c r="K15" i="21"/>
  <c r="K15" i="20"/>
  <c r="Q29" i="21"/>
  <c r="Q29" i="20"/>
  <c r="N13" i="21"/>
  <c r="N13" i="20"/>
  <c r="R24" i="21"/>
  <c r="R24" i="20"/>
  <c r="M30" i="21"/>
  <c r="M30" i="20"/>
  <c r="O29" i="21"/>
  <c r="O29" i="20"/>
  <c r="M21" i="21"/>
  <c r="M21" i="20"/>
  <c r="G17" i="21"/>
  <c r="G17" i="20"/>
  <c r="K11" i="21"/>
  <c r="K11" i="20"/>
  <c r="S30" i="21"/>
  <c r="S30" i="20"/>
  <c r="R18" i="21"/>
  <c r="R18" i="20"/>
  <c r="I24" i="21"/>
  <c r="I24" i="20"/>
  <c r="K26" i="21"/>
  <c r="K26" i="20"/>
  <c r="K21" i="21"/>
  <c r="K21" i="20"/>
  <c r="O10" i="21"/>
  <c r="O10" i="20"/>
  <c r="N18" i="21"/>
  <c r="N18" i="20"/>
  <c r="R29" i="21"/>
  <c r="R29" i="20"/>
  <c r="K18" i="21"/>
  <c r="K18" i="20"/>
  <c r="G9" i="21"/>
  <c r="G9" i="20"/>
  <c r="H59" i="19"/>
  <c r="B60" i="18"/>
  <c r="B16" i="18"/>
  <c r="E45" i="19"/>
  <c r="E42" i="19"/>
  <c r="C42" i="19" s="1"/>
  <c r="O14" i="19"/>
  <c r="B43" i="18"/>
  <c r="B56" i="18"/>
  <c r="E46" i="19"/>
  <c r="R9" i="19"/>
  <c r="R7" i="19"/>
  <c r="H15" i="19"/>
  <c r="K17" i="19"/>
  <c r="E37" i="19"/>
  <c r="F47" i="20"/>
  <c r="O28" i="19"/>
  <c r="N26" i="19"/>
  <c r="J60" i="19"/>
  <c r="G11" i="19"/>
  <c r="M53" i="20"/>
  <c r="I56" i="20"/>
  <c r="O13" i="19"/>
  <c r="E47" i="19"/>
  <c r="F56" i="21"/>
  <c r="B42" i="18"/>
  <c r="J59" i="19"/>
  <c r="E40" i="20"/>
  <c r="M49" i="20"/>
  <c r="B17" i="18"/>
  <c r="E48" i="19"/>
  <c r="F49" i="21"/>
  <c r="H60" i="19"/>
  <c r="G40" i="19"/>
  <c r="O12" i="19"/>
  <c r="P12" i="19" s="1"/>
  <c r="R12" i="19" s="1"/>
  <c r="O27" i="19"/>
  <c r="B30" i="18"/>
  <c r="N59" i="19"/>
  <c r="B62" i="18"/>
  <c r="B29" i="18"/>
  <c r="E39" i="19"/>
  <c r="H17" i="19"/>
  <c r="N20" i="19"/>
  <c r="I44" i="20"/>
  <c r="H45" i="20"/>
  <c r="G14" i="19"/>
  <c r="F9" i="19"/>
  <c r="G43" i="21"/>
  <c r="K61" i="20"/>
  <c r="B57" i="18"/>
  <c r="G54" i="21"/>
  <c r="E49" i="21"/>
  <c r="G58" i="21"/>
  <c r="B48" i="18"/>
  <c r="H16" i="19"/>
  <c r="D62" i="20"/>
  <c r="B11" i="18"/>
  <c r="K16" i="19"/>
  <c r="N19" i="19"/>
  <c r="N60" i="19"/>
  <c r="O56" i="20"/>
  <c r="F50" i="19"/>
  <c r="O47" i="21"/>
  <c r="B9" i="18"/>
  <c r="G38" i="19"/>
  <c r="B22" i="18"/>
  <c r="B12" i="18"/>
  <c r="F51" i="19"/>
  <c r="O56" i="21"/>
  <c r="L42" i="21"/>
  <c r="H45" i="21"/>
  <c r="K15" i="19"/>
  <c r="K18" i="19"/>
  <c r="G41" i="19"/>
  <c r="J40" i="20"/>
  <c r="N39" i="20"/>
  <c r="K40" i="20"/>
  <c r="F45" i="20"/>
  <c r="G57" i="20"/>
  <c r="K44" i="20"/>
  <c r="F43" i="20"/>
  <c r="G60" i="21"/>
  <c r="G43" i="19"/>
  <c r="I43" i="19" s="1"/>
  <c r="K43" i="19" s="1"/>
  <c r="E40" i="19"/>
  <c r="G44" i="19"/>
  <c r="L60" i="21"/>
  <c r="J19" i="19"/>
  <c r="G56" i="21"/>
  <c r="F60" i="21"/>
  <c r="I53" i="20"/>
  <c r="D44" i="20"/>
  <c r="K56" i="20"/>
  <c r="P40" i="21"/>
  <c r="B26" i="18"/>
  <c r="B46" i="18"/>
  <c r="B20" i="18"/>
  <c r="B28" i="18"/>
  <c r="I25" i="19"/>
  <c r="F37" i="19"/>
  <c r="R30" i="19"/>
  <c r="G39" i="21"/>
  <c r="K56" i="21"/>
  <c r="G56" i="20"/>
  <c r="I46" i="19"/>
  <c r="B54" i="18"/>
  <c r="R29" i="19"/>
  <c r="B59" i="18"/>
  <c r="B18" i="18"/>
  <c r="F57" i="19"/>
  <c r="D43" i="20"/>
  <c r="K59" i="20"/>
  <c r="L47" i="21"/>
  <c r="C52" i="19"/>
  <c r="H39" i="20"/>
  <c r="J41" i="21"/>
  <c r="B15" i="18"/>
  <c r="C50" i="19"/>
  <c r="F40" i="19"/>
  <c r="F39" i="19"/>
  <c r="O45" i="20"/>
  <c r="K38" i="19"/>
  <c r="K37" i="19"/>
  <c r="D54" i="20"/>
  <c r="B44" i="18"/>
  <c r="R27" i="19"/>
  <c r="F44" i="20"/>
  <c r="I48" i="21"/>
  <c r="D40" i="21"/>
  <c r="K57" i="20"/>
  <c r="M43" i="20"/>
  <c r="O42" i="20"/>
  <c r="D54" i="21"/>
  <c r="Q18" i="19"/>
  <c r="F21" i="19"/>
  <c r="G45" i="20"/>
  <c r="I61" i="20"/>
  <c r="O59" i="20"/>
  <c r="L29" i="19"/>
  <c r="L30" i="19"/>
  <c r="L27" i="19"/>
  <c r="B39" i="18"/>
  <c r="L47" i="20"/>
  <c r="F20" i="19"/>
  <c r="F19" i="19"/>
  <c r="F23" i="2"/>
  <c r="I23" i="18"/>
  <c r="P5" i="1"/>
  <c r="N5" i="1" s="1"/>
  <c r="M5" i="1" s="1"/>
  <c r="N7" i="1"/>
  <c r="M7" i="1" s="1"/>
  <c r="G5" i="1"/>
  <c r="I5" i="1"/>
  <c r="K7" i="1"/>
  <c r="L7" i="1" s="1"/>
  <c r="G46" i="22" l="1"/>
  <c r="G48" i="22"/>
  <c r="P26" i="19"/>
  <c r="R26" i="19" s="1"/>
  <c r="G45" i="22"/>
  <c r="G46" i="23"/>
  <c r="G45" i="23"/>
  <c r="B14" i="18"/>
  <c r="E49" i="22"/>
  <c r="E52" i="22"/>
  <c r="E50" i="22"/>
  <c r="J45" i="23"/>
  <c r="P14" i="19"/>
  <c r="R14" i="19" s="1"/>
  <c r="P11" i="19"/>
  <c r="R11" i="19" s="1"/>
  <c r="M45" i="22"/>
  <c r="C53" i="19"/>
  <c r="L23" i="19"/>
  <c r="J23" i="19" s="1"/>
  <c r="J48" i="23"/>
  <c r="J47" i="23"/>
  <c r="M57" i="23"/>
  <c r="J37" i="23"/>
  <c r="M58" i="23"/>
  <c r="M48" i="22"/>
  <c r="O40" i="22"/>
  <c r="I58" i="22"/>
  <c r="M47" i="23"/>
  <c r="N40" i="23"/>
  <c r="M46" i="23"/>
  <c r="M45" i="23"/>
  <c r="H56" i="23"/>
  <c r="I56" i="23" s="1"/>
  <c r="K56" i="23" s="1"/>
  <c r="M56" i="23" s="1"/>
  <c r="O56" i="23" s="1"/>
  <c r="H55" i="23"/>
  <c r="I55" i="23" s="1"/>
  <c r="K55" i="23" s="1"/>
  <c r="H55" i="22"/>
  <c r="I55" i="22" s="1"/>
  <c r="K55" i="22" s="1"/>
  <c r="M55" i="22" s="1"/>
  <c r="O55" i="22" s="1"/>
  <c r="E54" i="19"/>
  <c r="C54" i="19" s="1"/>
  <c r="P25" i="19"/>
  <c r="R25" i="19" s="1"/>
  <c r="P13" i="19"/>
  <c r="R13" i="19" s="1"/>
  <c r="B39" i="21"/>
  <c r="N38" i="23"/>
  <c r="I56" i="19"/>
  <c r="K56" i="19" s="1"/>
  <c r="M56" i="19" s="1"/>
  <c r="O56" i="19" s="1"/>
  <c r="B59" i="21"/>
  <c r="I51" i="23"/>
  <c r="L37" i="23"/>
  <c r="L40" i="23"/>
  <c r="L38" i="23"/>
  <c r="B52" i="20"/>
  <c r="M42" i="19"/>
  <c r="O42" i="19" s="1"/>
  <c r="L53" i="23"/>
  <c r="L55" i="23"/>
  <c r="M60" i="22"/>
  <c r="M58" i="22"/>
  <c r="M57" i="22"/>
  <c r="J12" i="19"/>
  <c r="H12" i="19" s="1"/>
  <c r="E12" i="19" s="1"/>
  <c r="C12" i="19" s="1"/>
  <c r="J42" i="22"/>
  <c r="N52" i="23"/>
  <c r="N50" i="23"/>
  <c r="M52" i="22"/>
  <c r="B62" i="21"/>
  <c r="D27" i="22"/>
  <c r="D29" i="22"/>
  <c r="D30" i="22"/>
  <c r="D28" i="22"/>
  <c r="D19" i="23"/>
  <c r="D21" i="23"/>
  <c r="D20" i="23"/>
  <c r="D22" i="23"/>
  <c r="E21" i="22"/>
  <c r="E22" i="22"/>
  <c r="E20" i="22"/>
  <c r="E19" i="22"/>
  <c r="Q48" i="22"/>
  <c r="Q46" i="22"/>
  <c r="Q47" i="22"/>
  <c r="Q45" i="22"/>
  <c r="D30" i="23"/>
  <c r="D29" i="23"/>
  <c r="D28" i="23"/>
  <c r="D27" i="23"/>
  <c r="Q40" i="22"/>
  <c r="Q39" i="22"/>
  <c r="Q38" i="22"/>
  <c r="Q37" i="22"/>
  <c r="Q49" i="22"/>
  <c r="Q52" i="22"/>
  <c r="Q51" i="22"/>
  <c r="Q50" i="22"/>
  <c r="C22" i="22"/>
  <c r="C21" i="22"/>
  <c r="C20" i="22"/>
  <c r="C19" i="22"/>
  <c r="D18" i="22"/>
  <c r="D17" i="22"/>
  <c r="D16" i="22"/>
  <c r="D15" i="22"/>
  <c r="H56" i="22"/>
  <c r="I56" i="22" s="1"/>
  <c r="K56" i="22" s="1"/>
  <c r="M56" i="22" s="1"/>
  <c r="Q50" i="23"/>
  <c r="Q49" i="23"/>
  <c r="Q52" i="23"/>
  <c r="Q51" i="23"/>
  <c r="C22" i="23"/>
  <c r="C21" i="23"/>
  <c r="C20" i="23"/>
  <c r="C19" i="23"/>
  <c r="C18" i="23"/>
  <c r="C15" i="23"/>
  <c r="C17" i="23"/>
  <c r="C16" i="23"/>
  <c r="D18" i="23"/>
  <c r="D17" i="23"/>
  <c r="D16" i="23"/>
  <c r="D15" i="23"/>
  <c r="H53" i="22"/>
  <c r="I53" i="22" s="1"/>
  <c r="K53" i="22" s="1"/>
  <c r="M53" i="22" s="1"/>
  <c r="E19" i="23"/>
  <c r="E22" i="23"/>
  <c r="E21" i="23"/>
  <c r="E20" i="23"/>
  <c r="D14" i="22"/>
  <c r="D13" i="22"/>
  <c r="D12" i="22"/>
  <c r="D11" i="22"/>
  <c r="E18" i="22"/>
  <c r="E16" i="22"/>
  <c r="E17" i="22"/>
  <c r="E15" i="22"/>
  <c r="E59" i="22"/>
  <c r="B61" i="21"/>
  <c r="E10" i="22"/>
  <c r="E8" i="22"/>
  <c r="E9" i="22"/>
  <c r="E7" i="22"/>
  <c r="C30" i="22"/>
  <c r="C29" i="22"/>
  <c r="C28" i="22"/>
  <c r="C27" i="22"/>
  <c r="Q46" i="23"/>
  <c r="Q45" i="23"/>
  <c r="Q48" i="23"/>
  <c r="Q47" i="23"/>
  <c r="C27" i="23"/>
  <c r="C29" i="23"/>
  <c r="C28" i="23"/>
  <c r="C30" i="23"/>
  <c r="Q37" i="23"/>
  <c r="Q40" i="23"/>
  <c r="Q39" i="23"/>
  <c r="Q38" i="23"/>
  <c r="Q60" i="22"/>
  <c r="Q59" i="22"/>
  <c r="Q58" i="22"/>
  <c r="Q57" i="22"/>
  <c r="D23" i="22"/>
  <c r="D25" i="22"/>
  <c r="D26" i="22"/>
  <c r="D24" i="22"/>
  <c r="C10" i="22"/>
  <c r="C9" i="22"/>
  <c r="C8" i="22"/>
  <c r="C7" i="22"/>
  <c r="E30" i="22"/>
  <c r="E28" i="22"/>
  <c r="E29" i="22"/>
  <c r="E27" i="22"/>
  <c r="D9" i="22"/>
  <c r="D7" i="22"/>
  <c r="D10" i="22"/>
  <c r="D8" i="22"/>
  <c r="D26" i="23"/>
  <c r="D24" i="23"/>
  <c r="D23" i="23"/>
  <c r="D25" i="23"/>
  <c r="C7" i="23"/>
  <c r="C9" i="23"/>
  <c r="C10" i="23"/>
  <c r="C8" i="23"/>
  <c r="E7" i="23"/>
  <c r="E9" i="23"/>
  <c r="E10" i="23"/>
  <c r="E8" i="23"/>
  <c r="D14" i="23"/>
  <c r="D11" i="23"/>
  <c r="D13" i="23"/>
  <c r="D12" i="23"/>
  <c r="E18" i="23"/>
  <c r="E17" i="23"/>
  <c r="E16" i="23"/>
  <c r="E15" i="23"/>
  <c r="O52" i="23"/>
  <c r="L50" i="23"/>
  <c r="C17" i="22"/>
  <c r="C15" i="22"/>
  <c r="C18" i="22"/>
  <c r="C16" i="22"/>
  <c r="D22" i="22"/>
  <c r="D20" i="22"/>
  <c r="D21" i="22"/>
  <c r="D19" i="22"/>
  <c r="Q60" i="23"/>
  <c r="Q59" i="23"/>
  <c r="Q57" i="23"/>
  <c r="Q58" i="23"/>
  <c r="O49" i="23"/>
  <c r="I37" i="23"/>
  <c r="E55" i="19"/>
  <c r="C55" i="19" s="1"/>
  <c r="E30" i="23"/>
  <c r="E29" i="23"/>
  <c r="E28" i="23"/>
  <c r="E27" i="23"/>
  <c r="D7" i="23"/>
  <c r="D10" i="23"/>
  <c r="D8" i="23"/>
  <c r="D9" i="23"/>
  <c r="J11" i="19"/>
  <c r="H11" i="19" s="1"/>
  <c r="E11" i="19" s="1"/>
  <c r="C11" i="19" s="1"/>
  <c r="I53" i="19"/>
  <c r="K53" i="19" s="1"/>
  <c r="M53" i="19" s="1"/>
  <c r="O53" i="19" s="1"/>
  <c r="L25" i="19"/>
  <c r="J25" i="19" s="1"/>
  <c r="H25" i="19" s="1"/>
  <c r="M43" i="19"/>
  <c r="O43" i="19" s="1"/>
  <c r="L13" i="19"/>
  <c r="J13" i="19" s="1"/>
  <c r="H13" i="19" s="1"/>
  <c r="L24" i="19"/>
  <c r="J24" i="19" s="1"/>
  <c r="H24" i="19" s="1"/>
  <c r="P24" i="19"/>
  <c r="R24" i="19" s="1"/>
  <c r="L14" i="19"/>
  <c r="J14" i="19" s="1"/>
  <c r="H14" i="19" s="1"/>
  <c r="B58" i="21"/>
  <c r="N37" i="23"/>
  <c r="O50" i="23"/>
  <c r="B50" i="21"/>
  <c r="B52" i="21"/>
  <c r="H37" i="23"/>
  <c r="L54" i="23"/>
  <c r="B53" i="21"/>
  <c r="L49" i="23"/>
  <c r="H38" i="23"/>
  <c r="H40" i="23"/>
  <c r="D44" i="23"/>
  <c r="B43" i="21"/>
  <c r="D41" i="23"/>
  <c r="I48" i="22"/>
  <c r="I57" i="22"/>
  <c r="O50" i="22"/>
  <c r="O52" i="22"/>
  <c r="J44" i="22"/>
  <c r="N52" i="22"/>
  <c r="I45" i="22"/>
  <c r="I38" i="22"/>
  <c r="L45" i="22"/>
  <c r="I46" i="22"/>
  <c r="L48" i="22"/>
  <c r="L47" i="22"/>
  <c r="E60" i="22"/>
  <c r="M46" i="22"/>
  <c r="E57" i="22"/>
  <c r="J41" i="22"/>
  <c r="M49" i="22"/>
  <c r="M50" i="22"/>
  <c r="I60" i="22"/>
  <c r="L60" i="22"/>
  <c r="L59" i="22"/>
  <c r="B62" i="20"/>
  <c r="L57" i="22"/>
  <c r="O49" i="22"/>
  <c r="L39" i="22"/>
  <c r="L38" i="22"/>
  <c r="L40" i="22"/>
  <c r="D51" i="23"/>
  <c r="D37" i="23"/>
  <c r="K58" i="22"/>
  <c r="D49" i="23"/>
  <c r="D49" i="22"/>
  <c r="D52" i="23"/>
  <c r="D52" i="22"/>
  <c r="D51" i="22"/>
  <c r="B51" i="20"/>
  <c r="N49" i="23"/>
  <c r="I39" i="22"/>
  <c r="H42" i="22"/>
  <c r="J40" i="23"/>
  <c r="J39" i="23"/>
  <c r="N43" i="23"/>
  <c r="N44" i="23"/>
  <c r="H41" i="23"/>
  <c r="H42" i="23"/>
  <c r="H43" i="23"/>
  <c r="B42" i="21"/>
  <c r="H43" i="22"/>
  <c r="D40" i="22"/>
  <c r="D42" i="23"/>
  <c r="B41" i="20"/>
  <c r="B44" i="21"/>
  <c r="I37" i="22"/>
  <c r="N49" i="22"/>
  <c r="D42" i="22"/>
  <c r="N50" i="22"/>
  <c r="H41" i="22"/>
  <c r="K58" i="23"/>
  <c r="I50" i="23"/>
  <c r="B57" i="21"/>
  <c r="I40" i="23"/>
  <c r="E56" i="19"/>
  <c r="C56" i="19" s="1"/>
  <c r="D39" i="23"/>
  <c r="D40" i="23"/>
  <c r="K59" i="23"/>
  <c r="K57" i="23"/>
  <c r="K60" i="22"/>
  <c r="M54" i="19"/>
  <c r="O54" i="19" s="1"/>
  <c r="L52" i="23"/>
  <c r="K57" i="22"/>
  <c r="B51" i="21"/>
  <c r="I38" i="23"/>
  <c r="D43" i="22"/>
  <c r="G50" i="23"/>
  <c r="G51" i="23"/>
  <c r="G49" i="23"/>
  <c r="O58" i="22"/>
  <c r="O60" i="22"/>
  <c r="O57" i="22"/>
  <c r="D44" i="22"/>
  <c r="B41" i="21"/>
  <c r="B45" i="21"/>
  <c r="B48" i="20"/>
  <c r="H57" i="23"/>
  <c r="F47" i="22"/>
  <c r="C60" i="22"/>
  <c r="F46" i="22"/>
  <c r="C58" i="22"/>
  <c r="C59" i="22"/>
  <c r="M55" i="19"/>
  <c r="O55" i="19" s="1"/>
  <c r="N56" i="22"/>
  <c r="K39" i="22"/>
  <c r="N53" i="22"/>
  <c r="K38" i="22"/>
  <c r="N54" i="22"/>
  <c r="K37" i="22"/>
  <c r="F54" i="23"/>
  <c r="E54" i="23" s="1"/>
  <c r="C54" i="23" s="1"/>
  <c r="B48" i="21"/>
  <c r="B60" i="20"/>
  <c r="H46" i="22"/>
  <c r="N41" i="23"/>
  <c r="I49" i="23"/>
  <c r="F23" i="18"/>
  <c r="E23" i="2"/>
  <c r="C23" i="2" s="1"/>
  <c r="B39" i="20"/>
  <c r="F53" i="23"/>
  <c r="E53" i="23" s="1"/>
  <c r="C53" i="23" s="1"/>
  <c r="H45" i="22"/>
  <c r="D37" i="22"/>
  <c r="F55" i="23"/>
  <c r="E55" i="23" s="1"/>
  <c r="C55" i="23" s="1"/>
  <c r="H48" i="22"/>
  <c r="D39" i="22"/>
  <c r="E56" i="23"/>
  <c r="C56" i="23" s="1"/>
  <c r="C45" i="22"/>
  <c r="E41" i="19"/>
  <c r="F45" i="22"/>
  <c r="B22" i="21"/>
  <c r="F54" i="22"/>
  <c r="E54" i="22" s="1"/>
  <c r="C54" i="22" s="1"/>
  <c r="H60" i="23"/>
  <c r="C47" i="22"/>
  <c r="B58" i="20"/>
  <c r="H58" i="23"/>
  <c r="C46" i="22"/>
  <c r="B27" i="21"/>
  <c r="B49" i="21"/>
  <c r="K37" i="23"/>
  <c r="B50" i="20"/>
  <c r="J49" i="22"/>
  <c r="J52" i="22"/>
  <c r="F56" i="22"/>
  <c r="E56" i="22" s="1"/>
  <c r="C56" i="22" s="1"/>
  <c r="J51" i="22"/>
  <c r="B11" i="21"/>
  <c r="F55" i="22"/>
  <c r="E55" i="22" s="1"/>
  <c r="C55" i="22" s="1"/>
  <c r="E43" i="19"/>
  <c r="C43" i="19" s="1"/>
  <c r="K38" i="23"/>
  <c r="B55" i="20"/>
  <c r="B18" i="21"/>
  <c r="B24" i="21"/>
  <c r="B25" i="21"/>
  <c r="B10" i="21"/>
  <c r="B13" i="21"/>
  <c r="B16" i="21"/>
  <c r="B7" i="21"/>
  <c r="B19" i="21"/>
  <c r="B49" i="20"/>
  <c r="B21" i="21"/>
  <c r="B17" i="21"/>
  <c r="B20" i="21"/>
  <c r="B26" i="21"/>
  <c r="B9" i="21"/>
  <c r="B7" i="20"/>
  <c r="B10" i="20"/>
  <c r="B12" i="21"/>
  <c r="B28" i="21"/>
  <c r="K40" i="23"/>
  <c r="B30" i="21"/>
  <c r="B9" i="20"/>
  <c r="B29" i="21"/>
  <c r="M24" i="23"/>
  <c r="M23" i="23"/>
  <c r="M25" i="23"/>
  <c r="M26" i="23"/>
  <c r="G14" i="23"/>
  <c r="G13" i="23"/>
  <c r="G12" i="23"/>
  <c r="G11" i="23"/>
  <c r="Q14" i="22"/>
  <c r="Q12" i="22"/>
  <c r="Q11" i="22"/>
  <c r="Q13" i="22"/>
  <c r="N10" i="22"/>
  <c r="N7" i="22"/>
  <c r="N8" i="22"/>
  <c r="N9" i="22"/>
  <c r="L28" i="22"/>
  <c r="L29" i="22"/>
  <c r="L30" i="22"/>
  <c r="L27" i="22"/>
  <c r="N22" i="22"/>
  <c r="N19" i="22"/>
  <c r="N20" i="22"/>
  <c r="N21" i="22"/>
  <c r="I41" i="19"/>
  <c r="K41" i="19" s="1"/>
  <c r="H58" i="22"/>
  <c r="H59" i="22"/>
  <c r="H57" i="22"/>
  <c r="H60" i="22"/>
  <c r="J8" i="22"/>
  <c r="J10" i="22"/>
  <c r="J7" i="22"/>
  <c r="J9" i="22"/>
  <c r="P20" i="23"/>
  <c r="P21" i="23"/>
  <c r="P22" i="23"/>
  <c r="P19" i="23"/>
  <c r="R20" i="22"/>
  <c r="R21" i="22"/>
  <c r="R22" i="22"/>
  <c r="R19" i="22"/>
  <c r="Q14" i="23"/>
  <c r="Q13" i="23"/>
  <c r="Q12" i="23"/>
  <c r="Q11" i="23"/>
  <c r="N8" i="23"/>
  <c r="N9" i="23"/>
  <c r="N10" i="23"/>
  <c r="N7" i="23"/>
  <c r="L28" i="23"/>
  <c r="L29" i="23"/>
  <c r="L30" i="23"/>
  <c r="L27" i="23"/>
  <c r="N22" i="23"/>
  <c r="N19" i="23"/>
  <c r="N21" i="23"/>
  <c r="N20" i="23"/>
  <c r="H16" i="22"/>
  <c r="H17" i="22"/>
  <c r="H18" i="22"/>
  <c r="H15" i="22"/>
  <c r="J58" i="23"/>
  <c r="J60" i="23"/>
  <c r="J57" i="23"/>
  <c r="J59" i="23"/>
  <c r="P20" i="22"/>
  <c r="P22" i="22"/>
  <c r="P19" i="22"/>
  <c r="P21" i="22"/>
  <c r="G40" i="23"/>
  <c r="G37" i="23"/>
  <c r="G39" i="23"/>
  <c r="G38" i="23"/>
  <c r="N58" i="22"/>
  <c r="N60" i="22"/>
  <c r="N57" i="22"/>
  <c r="N59" i="22"/>
  <c r="J10" i="23"/>
  <c r="J7" i="23"/>
  <c r="J9" i="23"/>
  <c r="J8" i="23"/>
  <c r="H8" i="22"/>
  <c r="H9" i="22"/>
  <c r="H10" i="22"/>
  <c r="H7" i="22"/>
  <c r="G20" i="22"/>
  <c r="G21" i="22"/>
  <c r="G22" i="22"/>
  <c r="G19" i="22"/>
  <c r="K28" i="22"/>
  <c r="K29" i="22"/>
  <c r="K30" i="22"/>
  <c r="K27" i="22"/>
  <c r="R20" i="23"/>
  <c r="R21" i="23"/>
  <c r="R22" i="23"/>
  <c r="R19" i="23"/>
  <c r="I26" i="22"/>
  <c r="I24" i="22"/>
  <c r="I23" i="22"/>
  <c r="I25" i="22"/>
  <c r="G17" i="22"/>
  <c r="G18" i="22"/>
  <c r="G15" i="22"/>
  <c r="G16" i="22"/>
  <c r="Q24" i="22"/>
  <c r="Q26" i="22"/>
  <c r="Q25" i="22"/>
  <c r="Q23" i="22"/>
  <c r="F42" i="23"/>
  <c r="F41" i="23"/>
  <c r="F43" i="23"/>
  <c r="F44" i="23"/>
  <c r="M14" i="22"/>
  <c r="M12" i="22"/>
  <c r="M13" i="22"/>
  <c r="M11" i="22"/>
  <c r="H17" i="23"/>
  <c r="H18" i="23"/>
  <c r="H15" i="23"/>
  <c r="H16" i="23"/>
  <c r="I8" i="22"/>
  <c r="I9" i="22"/>
  <c r="I10" i="22"/>
  <c r="I7" i="22"/>
  <c r="M28" i="22"/>
  <c r="M29" i="22"/>
  <c r="M30" i="22"/>
  <c r="M27" i="22"/>
  <c r="F46" i="23"/>
  <c r="F47" i="23"/>
  <c r="F48" i="23"/>
  <c r="F45" i="23"/>
  <c r="N16" i="23"/>
  <c r="N17" i="23"/>
  <c r="N18" i="23"/>
  <c r="N15" i="23"/>
  <c r="H28" i="22"/>
  <c r="H30" i="22"/>
  <c r="H27" i="22"/>
  <c r="H29" i="22"/>
  <c r="G8" i="22"/>
  <c r="G9" i="22"/>
  <c r="G10" i="22"/>
  <c r="G7" i="22"/>
  <c r="R16" i="22"/>
  <c r="R17" i="22"/>
  <c r="R18" i="22"/>
  <c r="R15" i="22"/>
  <c r="M19" i="22"/>
  <c r="M21" i="22"/>
  <c r="M20" i="22"/>
  <c r="M22" i="22"/>
  <c r="H9" i="23"/>
  <c r="H7" i="23"/>
  <c r="H8" i="23"/>
  <c r="H10" i="23"/>
  <c r="G20" i="23"/>
  <c r="G21" i="23"/>
  <c r="G22" i="23"/>
  <c r="G19" i="23"/>
  <c r="K28" i="23"/>
  <c r="K29" i="23"/>
  <c r="K30" i="23"/>
  <c r="K27" i="23"/>
  <c r="I26" i="23"/>
  <c r="I25" i="23"/>
  <c r="I23" i="23"/>
  <c r="I24" i="23"/>
  <c r="G16" i="23"/>
  <c r="G18" i="23"/>
  <c r="G15" i="23"/>
  <c r="G17" i="23"/>
  <c r="Q24" i="23"/>
  <c r="Q23" i="23"/>
  <c r="Q25" i="23"/>
  <c r="Q26" i="23"/>
  <c r="M14" i="23"/>
  <c r="M13" i="23"/>
  <c r="M12" i="23"/>
  <c r="M11" i="23"/>
  <c r="G58" i="23"/>
  <c r="G59" i="23"/>
  <c r="G60" i="23"/>
  <c r="G57" i="23"/>
  <c r="K17" i="22"/>
  <c r="K18" i="22"/>
  <c r="K15" i="22"/>
  <c r="K16" i="22"/>
  <c r="I8" i="23"/>
  <c r="I10" i="23"/>
  <c r="I7" i="23"/>
  <c r="I9" i="23"/>
  <c r="M28" i="23"/>
  <c r="M29" i="23"/>
  <c r="M30" i="23"/>
  <c r="M27" i="23"/>
  <c r="G37" i="22"/>
  <c r="G38" i="22"/>
  <c r="G39" i="22"/>
  <c r="G40" i="22"/>
  <c r="P16" i="23"/>
  <c r="P17" i="23"/>
  <c r="P18" i="23"/>
  <c r="P15" i="23"/>
  <c r="B47" i="21"/>
  <c r="K46" i="23"/>
  <c r="K47" i="23"/>
  <c r="K48" i="23"/>
  <c r="K45" i="23"/>
  <c r="B42" i="20"/>
  <c r="N38" i="22"/>
  <c r="N39" i="22"/>
  <c r="N37" i="22"/>
  <c r="N40" i="22"/>
  <c r="H28" i="23"/>
  <c r="H29" i="23"/>
  <c r="H30" i="23"/>
  <c r="H27" i="23"/>
  <c r="G8" i="23"/>
  <c r="G10" i="23"/>
  <c r="G7" i="23"/>
  <c r="G9" i="23"/>
  <c r="E53" i="22"/>
  <c r="C53" i="22" s="1"/>
  <c r="R16" i="23"/>
  <c r="R17" i="23"/>
  <c r="R18" i="23"/>
  <c r="R15" i="23"/>
  <c r="M20" i="23"/>
  <c r="M22" i="23"/>
  <c r="M19" i="23"/>
  <c r="M21" i="23"/>
  <c r="R8" i="22"/>
  <c r="R9" i="22"/>
  <c r="R10" i="22"/>
  <c r="R7" i="22"/>
  <c r="O16" i="22"/>
  <c r="O18" i="22"/>
  <c r="O15" i="22"/>
  <c r="O17" i="22"/>
  <c r="K50" i="23"/>
  <c r="K51" i="23"/>
  <c r="K52" i="23"/>
  <c r="K49" i="23"/>
  <c r="I14" i="22"/>
  <c r="I13" i="22"/>
  <c r="I12" i="22"/>
  <c r="I11" i="22"/>
  <c r="F44" i="22"/>
  <c r="F43" i="22"/>
  <c r="F42" i="22"/>
  <c r="F41" i="22"/>
  <c r="K17" i="23"/>
  <c r="K18" i="23"/>
  <c r="K15" i="23"/>
  <c r="K16" i="23"/>
  <c r="K21" i="22"/>
  <c r="K19" i="22"/>
  <c r="K20" i="22"/>
  <c r="K22" i="22"/>
  <c r="L20" i="22"/>
  <c r="L19" i="22"/>
  <c r="L21" i="22"/>
  <c r="L22" i="22"/>
  <c r="N26" i="22"/>
  <c r="N24" i="22"/>
  <c r="N25" i="22"/>
  <c r="N23" i="22"/>
  <c r="F58" i="23"/>
  <c r="F59" i="23"/>
  <c r="F60" i="23"/>
  <c r="F57" i="23"/>
  <c r="E39" i="22"/>
  <c r="E37" i="22"/>
  <c r="E40" i="22"/>
  <c r="E38" i="22"/>
  <c r="N58" i="23"/>
  <c r="N59" i="23"/>
  <c r="N60" i="23"/>
  <c r="N57" i="23"/>
  <c r="J17" i="22"/>
  <c r="J18" i="22"/>
  <c r="J15" i="22"/>
  <c r="J16" i="22"/>
  <c r="R8" i="23"/>
  <c r="R9" i="23"/>
  <c r="R7" i="23"/>
  <c r="R10" i="23"/>
  <c r="O16" i="23"/>
  <c r="O17" i="23"/>
  <c r="O18" i="23"/>
  <c r="O15" i="23"/>
  <c r="I12" i="23"/>
  <c r="I11" i="23"/>
  <c r="I13" i="23"/>
  <c r="I14" i="23"/>
  <c r="I54" i="22"/>
  <c r="K54" i="22" s="1"/>
  <c r="M54" i="22" s="1"/>
  <c r="K20" i="23"/>
  <c r="K22" i="23"/>
  <c r="K19" i="23"/>
  <c r="K21" i="23"/>
  <c r="L21" i="23"/>
  <c r="L20" i="23"/>
  <c r="L22" i="23"/>
  <c r="L19" i="23"/>
  <c r="O12" i="22"/>
  <c r="O14" i="22"/>
  <c r="O13" i="22"/>
  <c r="O11" i="22"/>
  <c r="N26" i="23"/>
  <c r="N25" i="23"/>
  <c r="N23" i="23"/>
  <c r="N24" i="23"/>
  <c r="F50" i="23"/>
  <c r="F52" i="23"/>
  <c r="F49" i="23"/>
  <c r="F51" i="23"/>
  <c r="J18" i="23"/>
  <c r="J15" i="23"/>
  <c r="J17" i="23"/>
  <c r="J16" i="23"/>
  <c r="F8" i="22"/>
  <c r="F9" i="22"/>
  <c r="F10" i="22"/>
  <c r="F7" i="22"/>
  <c r="L8" i="22"/>
  <c r="L10" i="22"/>
  <c r="L7" i="22"/>
  <c r="L9" i="22"/>
  <c r="O26" i="22"/>
  <c r="O25" i="22"/>
  <c r="O24" i="22"/>
  <c r="O23" i="22"/>
  <c r="N28" i="22"/>
  <c r="N30" i="22"/>
  <c r="N27" i="22"/>
  <c r="N29" i="22"/>
  <c r="H20" i="22"/>
  <c r="H21" i="22"/>
  <c r="H22" i="22"/>
  <c r="H19" i="22"/>
  <c r="O14" i="23"/>
  <c r="O13" i="23"/>
  <c r="O11" i="23"/>
  <c r="O12" i="23"/>
  <c r="N46" i="23"/>
  <c r="N48" i="23"/>
  <c r="N45" i="23"/>
  <c r="N47" i="23"/>
  <c r="Q16" i="23"/>
  <c r="Q17" i="23"/>
  <c r="Q18" i="23"/>
  <c r="Q15" i="23"/>
  <c r="C50" i="23"/>
  <c r="C51" i="23"/>
  <c r="C49" i="23"/>
  <c r="C52" i="23"/>
  <c r="B40" i="21"/>
  <c r="G44" i="23"/>
  <c r="I44" i="23" s="1"/>
  <c r="K44" i="23" s="1"/>
  <c r="M44" i="23" s="1"/>
  <c r="G43" i="23"/>
  <c r="G41" i="23"/>
  <c r="G42" i="23"/>
  <c r="F39" i="22"/>
  <c r="F37" i="22"/>
  <c r="F38" i="22"/>
  <c r="F40" i="22"/>
  <c r="E47" i="22"/>
  <c r="E48" i="22"/>
  <c r="E45" i="22"/>
  <c r="E46" i="22"/>
  <c r="Q28" i="22"/>
  <c r="Q30" i="22"/>
  <c r="Q27" i="22"/>
  <c r="Q29" i="22"/>
  <c r="L16" i="22"/>
  <c r="L18" i="22"/>
  <c r="L17" i="22"/>
  <c r="L15" i="22"/>
  <c r="Q21" i="22"/>
  <c r="Q22" i="22"/>
  <c r="Q19" i="22"/>
  <c r="Q20" i="22"/>
  <c r="F8" i="23"/>
  <c r="F9" i="23"/>
  <c r="F7" i="23"/>
  <c r="F10" i="23"/>
  <c r="L8" i="23"/>
  <c r="L9" i="23"/>
  <c r="L10" i="23"/>
  <c r="L7" i="23"/>
  <c r="O26" i="23"/>
  <c r="O25" i="23"/>
  <c r="O24" i="23"/>
  <c r="O23" i="23"/>
  <c r="F30" i="22"/>
  <c r="F29" i="22"/>
  <c r="F28" i="22"/>
  <c r="F27" i="22"/>
  <c r="P8" i="22"/>
  <c r="P10" i="22"/>
  <c r="P7" i="22"/>
  <c r="P9" i="22"/>
  <c r="N28" i="23"/>
  <c r="N29" i="23"/>
  <c r="N27" i="23"/>
  <c r="N30" i="23"/>
  <c r="G58" i="22"/>
  <c r="G59" i="22"/>
  <c r="G57" i="22"/>
  <c r="G60" i="22"/>
  <c r="H20" i="23"/>
  <c r="H21" i="23"/>
  <c r="H22" i="23"/>
  <c r="H19" i="23"/>
  <c r="B54" i="20"/>
  <c r="C51" i="22"/>
  <c r="C52" i="22"/>
  <c r="C49" i="22"/>
  <c r="C50" i="22"/>
  <c r="B47" i="20"/>
  <c r="K47" i="22"/>
  <c r="K48" i="22"/>
  <c r="K45" i="22"/>
  <c r="K46" i="22"/>
  <c r="Q28" i="23"/>
  <c r="Q30" i="23"/>
  <c r="Q27" i="23"/>
  <c r="Q29" i="23"/>
  <c r="L16" i="23"/>
  <c r="L17" i="23"/>
  <c r="L18" i="23"/>
  <c r="L15" i="23"/>
  <c r="Q20" i="23"/>
  <c r="Q21" i="23"/>
  <c r="Q22" i="23"/>
  <c r="Q19" i="23"/>
  <c r="I29" i="22"/>
  <c r="I30" i="22"/>
  <c r="I27" i="22"/>
  <c r="I28" i="22"/>
  <c r="K26" i="22"/>
  <c r="K25" i="22"/>
  <c r="K24" i="22"/>
  <c r="K23" i="22"/>
  <c r="G24" i="22"/>
  <c r="G26" i="22"/>
  <c r="G25" i="22"/>
  <c r="G23" i="22"/>
  <c r="G29" i="22"/>
  <c r="G28" i="22"/>
  <c r="G27" i="22"/>
  <c r="G30" i="22"/>
  <c r="F20" i="22"/>
  <c r="F21" i="22"/>
  <c r="F22" i="22"/>
  <c r="F19" i="22"/>
  <c r="F30" i="23"/>
  <c r="F27" i="23"/>
  <c r="F29" i="23"/>
  <c r="F28" i="23"/>
  <c r="P8" i="23"/>
  <c r="P9" i="23"/>
  <c r="P10" i="23"/>
  <c r="P7" i="23"/>
  <c r="K51" i="22"/>
  <c r="K52" i="22"/>
  <c r="K50" i="22"/>
  <c r="K49" i="22"/>
  <c r="O21" i="22"/>
  <c r="O22" i="22"/>
  <c r="O20" i="22"/>
  <c r="O19" i="22"/>
  <c r="J20" i="22"/>
  <c r="J22" i="22"/>
  <c r="J19" i="22"/>
  <c r="J21" i="22"/>
  <c r="F16" i="22"/>
  <c r="F17" i="22"/>
  <c r="F18" i="22"/>
  <c r="F15" i="22"/>
  <c r="E44" i="19"/>
  <c r="C44" i="19" s="1"/>
  <c r="M8" i="22"/>
  <c r="M10" i="22"/>
  <c r="M9" i="22"/>
  <c r="M7" i="22"/>
  <c r="I20" i="22"/>
  <c r="I21" i="22"/>
  <c r="I19" i="22"/>
  <c r="I22" i="22"/>
  <c r="I28" i="23"/>
  <c r="I29" i="23"/>
  <c r="I30" i="23"/>
  <c r="I27" i="23"/>
  <c r="K26" i="23"/>
  <c r="K25" i="23"/>
  <c r="K24" i="23"/>
  <c r="K23" i="23"/>
  <c r="G24" i="23"/>
  <c r="G23" i="23"/>
  <c r="G25" i="23"/>
  <c r="G26" i="23"/>
  <c r="G29" i="23"/>
  <c r="G30" i="23"/>
  <c r="G27" i="23"/>
  <c r="G28" i="23"/>
  <c r="F20" i="23"/>
  <c r="F21" i="23"/>
  <c r="F22" i="23"/>
  <c r="F19" i="23"/>
  <c r="O21" i="23"/>
  <c r="O22" i="23"/>
  <c r="O19" i="23"/>
  <c r="O20" i="23"/>
  <c r="J20" i="23"/>
  <c r="J21" i="23"/>
  <c r="J22" i="23"/>
  <c r="J19" i="23"/>
  <c r="F16" i="23"/>
  <c r="F17" i="23"/>
  <c r="F15" i="23"/>
  <c r="F18" i="23"/>
  <c r="K9" i="22"/>
  <c r="K10" i="22"/>
  <c r="K8" i="22"/>
  <c r="K7" i="22"/>
  <c r="O29" i="22"/>
  <c r="O30" i="22"/>
  <c r="O28" i="22"/>
  <c r="O27" i="22"/>
  <c r="J58" i="22"/>
  <c r="J59" i="22"/>
  <c r="J57" i="22"/>
  <c r="J60" i="22"/>
  <c r="I44" i="19"/>
  <c r="K44" i="19" s="1"/>
  <c r="M44" i="19" s="1"/>
  <c r="O44" i="19" s="1"/>
  <c r="G42" i="22"/>
  <c r="G41" i="22"/>
  <c r="G44" i="22"/>
  <c r="G43" i="22"/>
  <c r="E58" i="23"/>
  <c r="E59" i="23"/>
  <c r="E60" i="23"/>
  <c r="E57" i="23"/>
  <c r="M8" i="23"/>
  <c r="M9" i="23"/>
  <c r="M10" i="23"/>
  <c r="M7" i="23"/>
  <c r="I20" i="23"/>
  <c r="I21" i="23"/>
  <c r="I22" i="23"/>
  <c r="I19" i="23"/>
  <c r="N14" i="22"/>
  <c r="N13" i="22"/>
  <c r="N12" i="22"/>
  <c r="N11" i="22"/>
  <c r="Q9" i="22"/>
  <c r="Q10" i="22"/>
  <c r="Q7" i="22"/>
  <c r="Q8" i="22"/>
  <c r="K12" i="22"/>
  <c r="K13" i="22"/>
  <c r="K14" i="22"/>
  <c r="K11" i="22"/>
  <c r="J28" i="22"/>
  <c r="J29" i="22"/>
  <c r="J30" i="22"/>
  <c r="J27" i="22"/>
  <c r="I53" i="23"/>
  <c r="K53" i="23" s="1"/>
  <c r="M17" i="22"/>
  <c r="M18" i="22"/>
  <c r="M15" i="22"/>
  <c r="M16" i="22"/>
  <c r="R30" i="22"/>
  <c r="R27" i="22"/>
  <c r="R28" i="22"/>
  <c r="R29" i="22"/>
  <c r="I17" i="22"/>
  <c r="I18" i="22"/>
  <c r="I15" i="22"/>
  <c r="I16" i="22"/>
  <c r="O9" i="22"/>
  <c r="O10" i="22"/>
  <c r="O8" i="22"/>
  <c r="O7" i="22"/>
  <c r="P28" i="22"/>
  <c r="P30" i="22"/>
  <c r="P27" i="22"/>
  <c r="P29" i="22"/>
  <c r="K9" i="23"/>
  <c r="K10" i="23"/>
  <c r="K7" i="23"/>
  <c r="K8" i="23"/>
  <c r="O28" i="23"/>
  <c r="O30" i="23"/>
  <c r="O27" i="23"/>
  <c r="O29" i="23"/>
  <c r="F58" i="22"/>
  <c r="F60" i="22"/>
  <c r="F57" i="22"/>
  <c r="F59" i="22"/>
  <c r="M24" i="22"/>
  <c r="M26" i="22"/>
  <c r="M25" i="22"/>
  <c r="M23" i="22"/>
  <c r="P16" i="22"/>
  <c r="P18" i="22"/>
  <c r="P15" i="22"/>
  <c r="P17" i="22"/>
  <c r="N12" i="23"/>
  <c r="N11" i="23"/>
  <c r="N13" i="23"/>
  <c r="N14" i="23"/>
  <c r="Q8" i="23"/>
  <c r="Q9" i="23"/>
  <c r="Q10" i="23"/>
  <c r="Q7" i="23"/>
  <c r="N16" i="22"/>
  <c r="N17" i="22"/>
  <c r="N15" i="22"/>
  <c r="N18" i="22"/>
  <c r="K14" i="23"/>
  <c r="K13" i="23"/>
  <c r="K11" i="23"/>
  <c r="K12" i="23"/>
  <c r="J28" i="23"/>
  <c r="J29" i="23"/>
  <c r="J30" i="23"/>
  <c r="J27" i="23"/>
  <c r="I54" i="23"/>
  <c r="K54" i="23" s="1"/>
  <c r="M16" i="23"/>
  <c r="M17" i="23"/>
  <c r="M18" i="23"/>
  <c r="M15" i="23"/>
  <c r="R30" i="23"/>
  <c r="R27" i="23"/>
  <c r="R29" i="23"/>
  <c r="R28" i="23"/>
  <c r="Q16" i="22"/>
  <c r="Q18" i="22"/>
  <c r="Q15" i="22"/>
  <c r="Q17" i="22"/>
  <c r="I16" i="23"/>
  <c r="I18" i="23"/>
  <c r="I15" i="23"/>
  <c r="I17" i="23"/>
  <c r="O8" i="23"/>
  <c r="O9" i="23"/>
  <c r="O10" i="23"/>
  <c r="O7" i="23"/>
  <c r="G14" i="22"/>
  <c r="G12" i="22"/>
  <c r="G13" i="22"/>
  <c r="G11" i="22"/>
  <c r="P29" i="23"/>
  <c r="P30" i="23"/>
  <c r="P27" i="23"/>
  <c r="P28" i="23"/>
  <c r="B60" i="21"/>
  <c r="B53" i="20"/>
  <c r="B57" i="20"/>
  <c r="B61" i="20"/>
  <c r="B40" i="20"/>
  <c r="B46" i="20"/>
  <c r="B15" i="21"/>
  <c r="L26" i="19"/>
  <c r="J26" i="19" s="1"/>
  <c r="H26" i="19" s="1"/>
  <c r="B44" i="20"/>
  <c r="B12" i="20"/>
  <c r="B54" i="21"/>
  <c r="B13" i="20"/>
  <c r="B8" i="21"/>
  <c r="B59" i="20"/>
  <c r="B43" i="20"/>
  <c r="B56" i="21"/>
  <c r="B8" i="20"/>
  <c r="B45" i="20"/>
  <c r="B56" i="20"/>
  <c r="A23" i="2"/>
  <c r="G23" i="18"/>
  <c r="K5" i="1"/>
  <c r="L5" i="1" s="1"/>
  <c r="M54" i="23" l="1"/>
  <c r="O54" i="23" s="1"/>
  <c r="M53" i="23"/>
  <c r="O53" i="23" s="1"/>
  <c r="M55" i="23"/>
  <c r="O55" i="23" s="1"/>
  <c r="F11" i="19"/>
  <c r="F12" i="19"/>
  <c r="F26" i="19"/>
  <c r="E26" i="19"/>
  <c r="C26" i="19" s="1"/>
  <c r="F14" i="19"/>
  <c r="E14" i="19"/>
  <c r="C14" i="19" s="1"/>
  <c r="F24" i="19"/>
  <c r="E24" i="19"/>
  <c r="C24" i="19" s="1"/>
  <c r="F13" i="19"/>
  <c r="E13" i="19"/>
  <c r="C13" i="19" s="1"/>
  <c r="F25" i="19"/>
  <c r="E25" i="19"/>
  <c r="C25" i="19" s="1"/>
  <c r="O56" i="22"/>
  <c r="O44" i="23"/>
  <c r="I43" i="23"/>
  <c r="K43" i="23" s="1"/>
  <c r="M43" i="23" s="1"/>
  <c r="O43" i="23" s="1"/>
  <c r="O53" i="22"/>
  <c r="L13" i="23"/>
  <c r="J13" i="23" s="1"/>
  <c r="H13" i="23" s="1"/>
  <c r="F13" i="23" s="1"/>
  <c r="E13" i="23" s="1"/>
  <c r="C13" i="23" s="1"/>
  <c r="O54" i="22"/>
  <c r="C41" i="19"/>
  <c r="P25" i="22"/>
  <c r="R25" i="22" s="1"/>
  <c r="E43" i="23"/>
  <c r="C43" i="23" s="1"/>
  <c r="E43" i="22"/>
  <c r="C43" i="22" s="1"/>
  <c r="L26" i="23"/>
  <c r="J26" i="23" s="1"/>
  <c r="H26" i="23" s="1"/>
  <c r="F26" i="23" s="1"/>
  <c r="E26" i="23" s="1"/>
  <c r="C26" i="23" s="1"/>
  <c r="H23" i="19"/>
  <c r="E23" i="19" s="1"/>
  <c r="C23" i="19" s="1"/>
  <c r="P14" i="22"/>
  <c r="R14" i="22" s="1"/>
  <c r="E44" i="23"/>
  <c r="C44" i="23" s="1"/>
  <c r="L14" i="23"/>
  <c r="J14" i="23" s="1"/>
  <c r="H14" i="23" s="1"/>
  <c r="F14" i="23" s="1"/>
  <c r="E14" i="23" s="1"/>
  <c r="C14" i="23" s="1"/>
  <c r="P14" i="23"/>
  <c r="R14" i="23" s="1"/>
  <c r="P12" i="22"/>
  <c r="R12" i="22" s="1"/>
  <c r="L12" i="22"/>
  <c r="J12" i="22" s="1"/>
  <c r="H12" i="22" s="1"/>
  <c r="P11" i="23"/>
  <c r="R11" i="23" s="1"/>
  <c r="L11" i="23"/>
  <c r="J11" i="23" s="1"/>
  <c r="H11" i="23" s="1"/>
  <c r="F11" i="23" s="1"/>
  <c r="E11" i="23" s="1"/>
  <c r="C11" i="23" s="1"/>
  <c r="L14" i="22"/>
  <c r="J14" i="22" s="1"/>
  <c r="H14" i="22" s="1"/>
  <c r="P26" i="23"/>
  <c r="R26" i="23" s="1"/>
  <c r="P23" i="22"/>
  <c r="L24" i="23"/>
  <c r="J24" i="23" s="1"/>
  <c r="H24" i="23" s="1"/>
  <c r="F24" i="23" s="1"/>
  <c r="E24" i="23" s="1"/>
  <c r="C24" i="23" s="1"/>
  <c r="P24" i="23"/>
  <c r="R24" i="23" s="1"/>
  <c r="P13" i="23"/>
  <c r="R13" i="23" s="1"/>
  <c r="P23" i="23"/>
  <c r="L23" i="23"/>
  <c r="L23" i="22"/>
  <c r="L12" i="23"/>
  <c r="J12" i="23" s="1"/>
  <c r="H12" i="23" s="1"/>
  <c r="F12" i="23" s="1"/>
  <c r="E12" i="23" s="1"/>
  <c r="C12" i="23" s="1"/>
  <c r="P12" i="23"/>
  <c r="R12" i="23" s="1"/>
  <c r="I44" i="22"/>
  <c r="K44" i="22" s="1"/>
  <c r="M44" i="22" s="1"/>
  <c r="O44" i="22" s="1"/>
  <c r="E44" i="22"/>
  <c r="C44" i="22" s="1"/>
  <c r="I43" i="22"/>
  <c r="K43" i="22" s="1"/>
  <c r="M43" i="22" s="1"/>
  <c r="O43" i="22" s="1"/>
  <c r="P25" i="23"/>
  <c r="R25" i="23" s="1"/>
  <c r="L25" i="23"/>
  <c r="J25" i="23" s="1"/>
  <c r="H25" i="23" s="1"/>
  <c r="F25" i="23" s="1"/>
  <c r="E25" i="23" s="1"/>
  <c r="C25" i="23" s="1"/>
  <c r="L25" i="22"/>
  <c r="J25" i="22" s="1"/>
  <c r="H25" i="22" s="1"/>
  <c r="I42" i="22"/>
  <c r="K42" i="22" s="1"/>
  <c r="M42" i="22" s="1"/>
  <c r="O42" i="22" s="1"/>
  <c r="E42" i="22"/>
  <c r="C42" i="22" s="1"/>
  <c r="L26" i="22"/>
  <c r="J26" i="22" s="1"/>
  <c r="H26" i="22" s="1"/>
  <c r="P26" i="22"/>
  <c r="R26" i="22" s="1"/>
  <c r="I41" i="22"/>
  <c r="E41" i="22"/>
  <c r="L24" i="22"/>
  <c r="J24" i="22" s="1"/>
  <c r="H24" i="22" s="1"/>
  <c r="P24" i="22"/>
  <c r="R24" i="22" s="1"/>
  <c r="I42" i="23"/>
  <c r="K42" i="23" s="1"/>
  <c r="M42" i="23" s="1"/>
  <c r="O42" i="23" s="1"/>
  <c r="E42" i="23"/>
  <c r="C42" i="23" s="1"/>
  <c r="I41" i="23"/>
  <c r="E41" i="23"/>
  <c r="C41" i="23" s="1"/>
  <c r="P13" i="22"/>
  <c r="R13" i="22" s="1"/>
  <c r="L13" i="22"/>
  <c r="J13" i="22" s="1"/>
  <c r="H13" i="22" s="1"/>
  <c r="L11" i="22"/>
  <c r="J11" i="22" s="1"/>
  <c r="H11" i="22" s="1"/>
  <c r="P11" i="22"/>
  <c r="R11" i="22" s="1"/>
  <c r="B16" i="20"/>
  <c r="B15" i="20"/>
  <c r="B11" i="20"/>
  <c r="B23" i="18"/>
  <c r="M41" i="19"/>
  <c r="O41" i="19" s="1"/>
  <c r="F25" i="22" l="1"/>
  <c r="E25" i="22"/>
  <c r="C25" i="22" s="1"/>
  <c r="F14" i="22"/>
  <c r="E14" i="22"/>
  <c r="C14" i="22" s="1"/>
  <c r="E12" i="22"/>
  <c r="C12" i="22" s="1"/>
  <c r="F12" i="22"/>
  <c r="F11" i="22"/>
  <c r="E11" i="22"/>
  <c r="C11" i="22" s="1"/>
  <c r="F26" i="22"/>
  <c r="E26" i="22"/>
  <c r="C26" i="22" s="1"/>
  <c r="F24" i="22"/>
  <c r="E24" i="22"/>
  <c r="C24" i="22" s="1"/>
  <c r="F13" i="22"/>
  <c r="E13" i="22"/>
  <c r="C13" i="22" s="1"/>
  <c r="F23" i="19"/>
  <c r="K41" i="22"/>
  <c r="C41" i="22"/>
  <c r="R23" i="22"/>
  <c r="J23" i="22"/>
  <c r="K41" i="23"/>
  <c r="J23" i="23"/>
  <c r="R23" i="23"/>
  <c r="B14" i="20"/>
  <c r="B18" i="20"/>
  <c r="B19" i="20"/>
  <c r="B23" i="21"/>
  <c r="B7" i="18"/>
  <c r="H23" i="23" l="1"/>
  <c r="M41" i="23"/>
  <c r="H23" i="22"/>
  <c r="E23" i="22" s="1"/>
  <c r="C23" i="22" s="1"/>
  <c r="M41" i="22"/>
  <c r="B17" i="20"/>
  <c r="B22" i="20"/>
  <c r="B21" i="20"/>
  <c r="F23" i="23" l="1"/>
  <c r="E23" i="23" s="1"/>
  <c r="C23" i="23" s="1"/>
  <c r="O41" i="22"/>
  <c r="F23" i="22"/>
  <c r="O41" i="23"/>
  <c r="B24" i="20"/>
  <c r="B25" i="20"/>
  <c r="B28" i="20" s="1"/>
  <c r="B20" i="20"/>
  <c r="B23" i="20" l="1"/>
  <c r="B27" i="20"/>
  <c r="B30" i="20" s="1"/>
  <c r="B26" i="20" l="1"/>
  <c r="B29" i="20" s="1"/>
  <c r="Q43" i="20"/>
  <c r="Q43" i="21"/>
  <c r="P50" i="19"/>
  <c r="P49" i="19"/>
  <c r="P51" i="19"/>
  <c r="P52" i="19"/>
  <c r="Q41" i="20"/>
  <c r="Q41" i="21"/>
  <c r="Q40" i="20"/>
  <c r="Q40" i="21"/>
  <c r="P47" i="19"/>
  <c r="P45" i="19"/>
  <c r="P48" i="19"/>
  <c r="P46" i="19"/>
  <c r="Q54" i="21"/>
  <c r="P52" i="23" s="1"/>
  <c r="Q51" i="21"/>
  <c r="Q51" i="20"/>
  <c r="Q62" i="21"/>
  <c r="Q62" i="20"/>
  <c r="Q61" i="20"/>
  <c r="Q61" i="21"/>
  <c r="P44" i="19"/>
  <c r="Q44" i="19" s="1"/>
  <c r="Q54" i="20"/>
  <c r="P50" i="22" s="1"/>
  <c r="Q58" i="21"/>
  <c r="Q58" i="20"/>
  <c r="P55" i="19"/>
  <c r="Q55" i="19" s="1"/>
  <c r="Q52" i="21"/>
  <c r="Q52" i="20"/>
  <c r="P37" i="19"/>
  <c r="P40" i="19"/>
  <c r="P39" i="19"/>
  <c r="P38" i="19"/>
  <c r="Q45" i="21"/>
  <c r="P38" i="23" s="1"/>
  <c r="Q59" i="21"/>
  <c r="Q59" i="20"/>
  <c r="Q44" i="20"/>
  <c r="Q44" i="21"/>
  <c r="P54" i="19"/>
  <c r="Q54" i="19" s="1"/>
  <c r="Q42" i="21"/>
  <c r="Q42" i="20"/>
  <c r="Q49" i="21"/>
  <c r="Q49" i="20"/>
  <c r="P41" i="19"/>
  <c r="Q41" i="19" s="1"/>
  <c r="Q45" i="20"/>
  <c r="P37" i="22" s="1"/>
  <c r="Q47" i="20"/>
  <c r="P46" i="22" s="1"/>
  <c r="Q60" i="20"/>
  <c r="Q60" i="21"/>
  <c r="P59" i="19"/>
  <c r="P58" i="19"/>
  <c r="P60" i="19"/>
  <c r="P57" i="19"/>
  <c r="Q56" i="21"/>
  <c r="P57" i="23" s="1"/>
  <c r="Q39" i="21"/>
  <c r="Q39" i="20"/>
  <c r="Q50" i="21"/>
  <c r="Q50" i="20"/>
  <c r="P56" i="19"/>
  <c r="Q56" i="19" s="1"/>
  <c r="Q56" i="20"/>
  <c r="P59" i="22" s="1"/>
  <c r="P53" i="19"/>
  <c r="Q53" i="19" s="1"/>
  <c r="P54" i="23"/>
  <c r="Q54" i="23" s="1"/>
  <c r="Q47" i="21"/>
  <c r="P48" i="23" s="1"/>
  <c r="Q57" i="21"/>
  <c r="Q57" i="20"/>
  <c r="Q53" i="21"/>
  <c r="Q53" i="20"/>
  <c r="Q48" i="21"/>
  <c r="Q48" i="20"/>
  <c r="P44" i="22"/>
  <c r="Q44" i="22" s="1"/>
  <c r="P42" i="19"/>
  <c r="Q42" i="19" s="1"/>
  <c r="P43" i="19"/>
  <c r="Q43" i="19" s="1"/>
  <c r="P53" i="22"/>
  <c r="Q53" i="22" s="1"/>
  <c r="P44" i="23"/>
  <c r="Q44" i="23" s="1"/>
  <c r="P39" i="22" l="1"/>
  <c r="P39" i="23"/>
  <c r="P37" i="23"/>
  <c r="P47" i="23"/>
  <c r="P40" i="23"/>
  <c r="P42" i="22"/>
  <c r="Q42" i="22" s="1"/>
  <c r="P52" i="22"/>
  <c r="P53" i="23"/>
  <c r="Q53" i="23" s="1"/>
  <c r="P38" i="22"/>
  <c r="P40" i="22"/>
  <c r="P57" i="22"/>
  <c r="P60" i="22"/>
  <c r="P58" i="23"/>
  <c r="P55" i="23"/>
  <c r="Q55" i="23" s="1"/>
  <c r="P60" i="23"/>
  <c r="P46" i="23"/>
  <c r="P45" i="23"/>
  <c r="P41" i="22"/>
  <c r="Q41" i="22" s="1"/>
  <c r="P56" i="23"/>
  <c r="Q56" i="23" s="1"/>
  <c r="P49" i="22"/>
  <c r="P58" i="22"/>
  <c r="P41" i="23"/>
  <c r="Q41" i="23" s="1"/>
  <c r="P51" i="22"/>
  <c r="P43" i="23"/>
  <c r="Q43" i="23" s="1"/>
  <c r="P42" i="23"/>
  <c r="Q42" i="23" s="1"/>
  <c r="P55" i="22"/>
  <c r="Q55" i="22" s="1"/>
  <c r="P59" i="23"/>
  <c r="P56" i="22"/>
  <c r="Q56" i="22" s="1"/>
  <c r="P54" i="22"/>
  <c r="Q54" i="22" s="1"/>
  <c r="P43" i="22"/>
  <c r="Q43" i="22" s="1"/>
  <c r="P45" i="22"/>
  <c r="P50" i="23"/>
  <c r="P51" i="23"/>
  <c r="P47" i="22"/>
  <c r="P49" i="23"/>
  <c r="P48" i="22"/>
</calcChain>
</file>

<file path=xl/sharedStrings.xml><?xml version="1.0" encoding="utf-8"?>
<sst xmlns="http://schemas.openxmlformats.org/spreadsheetml/2006/main" count="2118" uniqueCount="270">
  <si>
    <t>KEY</t>
  </si>
  <si>
    <t>red = off-ramp</t>
  </si>
  <si>
    <t>green = on-ramp</t>
  </si>
  <si>
    <t>black number = count</t>
  </si>
  <si>
    <t>southbound (PM)</t>
  </si>
  <si>
    <t>northbound (AM)</t>
  </si>
  <si>
    <t>TMS ID</t>
  </si>
  <si>
    <t>logical</t>
  </si>
  <si>
    <t>I-49 (155th to 163rd)</t>
  </si>
  <si>
    <t>019-010154-3</t>
  </si>
  <si>
    <t>019-010398-2</t>
  </si>
  <si>
    <t>north 163rd ramps</t>
  </si>
  <si>
    <t>between 163rd ramps</t>
  </si>
  <si>
    <t>019-010295-3</t>
  </si>
  <si>
    <t>019-009790-2</t>
  </si>
  <si>
    <t>south 163rd ramps</t>
  </si>
  <si>
    <t>I-49 (163rd to MO-58)</t>
  </si>
  <si>
    <t>019-010155-3</t>
  </si>
  <si>
    <t>019-009732-4</t>
  </si>
  <si>
    <t>north MO-58 ramps</t>
  </si>
  <si>
    <t>between MO-58 ramps</t>
  </si>
  <si>
    <t>019-009733-2</t>
  </si>
  <si>
    <t>019-009882-1</t>
  </si>
  <si>
    <t>south MO-58 ramps</t>
  </si>
  <si>
    <t>019-000177-3</t>
  </si>
  <si>
    <t>019-000177-1</t>
  </si>
  <si>
    <t>I-49 (MO-58 to N Cass Pkwy)</t>
  </si>
  <si>
    <t>019-000589-3</t>
  </si>
  <si>
    <t>019-000592-1</t>
  </si>
  <si>
    <t>north N Cass ramps</t>
  </si>
  <si>
    <t>between N Cass ramps</t>
  </si>
  <si>
    <t>019-000590-3</t>
  </si>
  <si>
    <t>019-000591-1</t>
  </si>
  <si>
    <t>south N Cass ramps</t>
  </si>
  <si>
    <t xml:space="preserve">% of growth </t>
  </si>
  <si>
    <t>grey number = equation</t>
  </si>
  <si>
    <t>Average Growth Rate</t>
  </si>
  <si>
    <t>Adjusted Growth Rate*</t>
  </si>
  <si>
    <t>* if average growth rate was determined to be negative, 0.50% growth rate was used to determine 2020 volumes</t>
  </si>
  <si>
    <t>Freeval Input_SB (hour)</t>
  </si>
  <si>
    <t>Basic</t>
  </si>
  <si>
    <t>Off_R</t>
  </si>
  <si>
    <t>On_R</t>
  </si>
  <si>
    <t>Freeval Input_NB (hour)</t>
  </si>
  <si>
    <r>
      <rPr>
        <sz val="10"/>
        <rFont val="Times New Roman"/>
        <family val="1"/>
      </rPr>
      <t>Site Names: County:</t>
    </r>
  </si>
  <si>
    <r>
      <rPr>
        <sz val="10"/>
        <rFont val="Times New Roman"/>
        <family val="1"/>
      </rPr>
      <t>019-010295-3</t>
    </r>
  </si>
  <si>
    <r>
      <rPr>
        <sz val="10"/>
        <rFont val="Times New Roman"/>
        <family val="1"/>
      </rPr>
      <t>Cass</t>
    </r>
  </si>
  <si>
    <r>
      <rPr>
        <b/>
        <sz val="18"/>
        <rFont val="Times New Roman"/>
        <family val="1"/>
      </rPr>
      <t>Missouri</t>
    </r>
    <r>
      <rPr>
        <sz val="18"/>
        <rFont val="Times New Roman"/>
        <family val="1"/>
      </rPr>
      <t xml:space="preserve"> </t>
    </r>
    <r>
      <rPr>
        <b/>
        <sz val="18"/>
        <rFont val="Times New Roman"/>
        <family val="1"/>
      </rPr>
      <t>Department</t>
    </r>
    <r>
      <rPr>
        <sz val="18"/>
        <rFont val="Times New Roman"/>
        <family val="1"/>
      </rPr>
      <t xml:space="preserve"> </t>
    </r>
    <r>
      <rPr>
        <b/>
        <sz val="18"/>
        <rFont val="Times New Roman"/>
        <family val="1"/>
      </rPr>
      <t>of</t>
    </r>
    <r>
      <rPr>
        <sz val="18"/>
        <rFont val="Times New Roman"/>
        <family val="1"/>
      </rPr>
      <t xml:space="preserve"> </t>
    </r>
    <r>
      <rPr>
        <b/>
        <sz val="18"/>
        <rFont val="Times New Roman"/>
        <family val="1"/>
      </rPr>
      <t>Transportation</t>
    </r>
  </si>
  <si>
    <r>
      <rPr>
        <b/>
        <sz val="14"/>
        <rFont val="Times New Roman"/>
        <family val="1"/>
      </rPr>
      <t>Daily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Volume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from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04/17/2017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through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04/19/2017</t>
    </r>
  </si>
  <si>
    <r>
      <rPr>
        <sz val="10"/>
        <rFont val="Times New Roman"/>
        <family val="1"/>
      </rPr>
      <t>Seasonal Factor Group: Daily Factor Group:</t>
    </r>
  </si>
  <si>
    <r>
      <rPr>
        <sz val="10"/>
        <rFont val="Times New Roman"/>
        <family val="1"/>
      </rPr>
      <t>SFGID 501</t>
    </r>
  </si>
  <si>
    <r>
      <rPr>
        <sz val="10"/>
        <rFont val="Times New Roman"/>
        <family val="1"/>
      </rPr>
      <t>Funct. Class: Location:</t>
    </r>
  </si>
  <si>
    <r>
      <rPr>
        <sz val="10"/>
        <rFont val="Times New Roman"/>
        <family val="1"/>
      </rPr>
      <t>Urban Principal Arterial - Other Freeways 862_OLD STATE HWY Y TO US71S</t>
    </r>
  </si>
  <si>
    <r>
      <rPr>
        <sz val="10"/>
        <rFont val="Times New Roman"/>
        <family val="1"/>
      </rPr>
      <t>Axle Factor Group: Growth Factor Group:</t>
    </r>
  </si>
  <si>
    <r>
      <rPr>
        <sz val="10"/>
        <rFont val="Times New Roman"/>
        <family val="1"/>
      </rPr>
      <t>AFGID 012</t>
    </r>
  </si>
  <si>
    <r>
      <rPr>
        <b/>
        <sz val="8"/>
        <rFont val="Times New Roman"/>
        <family val="1"/>
      </rPr>
      <t>Sun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04/16/2017</t>
    </r>
  </si>
  <si>
    <r>
      <rPr>
        <b/>
        <sz val="8"/>
        <rFont val="Times New Roman"/>
        <family val="1"/>
      </rPr>
      <t>Mon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04/17/2017</t>
    </r>
  </si>
  <si>
    <r>
      <rPr>
        <b/>
        <sz val="8"/>
        <rFont val="Times New Roman"/>
        <family val="1"/>
      </rPr>
      <t>Tue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04/18/2017</t>
    </r>
  </si>
  <si>
    <r>
      <rPr>
        <b/>
        <sz val="8"/>
        <rFont val="Times New Roman"/>
        <family val="1"/>
      </rPr>
      <t>Wed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04/19/2017</t>
    </r>
  </si>
  <si>
    <r>
      <rPr>
        <b/>
        <sz val="8"/>
        <rFont val="Times New Roman"/>
        <family val="1"/>
      </rPr>
      <t>Thu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04/20/2017</t>
    </r>
  </si>
  <si>
    <r>
      <rPr>
        <b/>
        <sz val="8"/>
        <rFont val="Times New Roman"/>
        <family val="1"/>
      </rPr>
      <t>Fri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04/21/2017</t>
    </r>
  </si>
  <si>
    <r>
      <rPr>
        <b/>
        <sz val="8"/>
        <rFont val="Times New Roman"/>
        <family val="1"/>
      </rPr>
      <t>Sat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04/22/2017</t>
    </r>
  </si>
  <si>
    <r>
      <rPr>
        <b/>
        <sz val="8"/>
        <rFont val="Times New Roman"/>
        <family val="1"/>
      </rPr>
      <t>ROAD</t>
    </r>
  </si>
  <si>
    <r>
      <rPr>
        <b/>
        <sz val="8"/>
        <rFont val="Times New Roman"/>
        <family val="1"/>
      </rPr>
      <t>S</t>
    </r>
  </si>
  <si>
    <r>
      <rPr>
        <b/>
        <sz val="8"/>
        <rFont val="Times New Roman"/>
        <family val="1"/>
      </rPr>
      <t>N</t>
    </r>
  </si>
  <si>
    <r>
      <rPr>
        <b/>
        <sz val="8"/>
        <rFont val="Times New Roman"/>
        <family val="1"/>
      </rPr>
      <t>00:00</t>
    </r>
  </si>
  <si>
    <r>
      <rPr>
        <b/>
        <sz val="8"/>
        <rFont val="Times New Roman"/>
        <family val="1"/>
      </rPr>
      <t>01:00</t>
    </r>
  </si>
  <si>
    <r>
      <rPr>
        <b/>
        <sz val="8"/>
        <rFont val="Times New Roman"/>
        <family val="1"/>
      </rPr>
      <t>02:00</t>
    </r>
  </si>
  <si>
    <r>
      <rPr>
        <b/>
        <sz val="8"/>
        <rFont val="Times New Roman"/>
        <family val="1"/>
      </rPr>
      <t>03:00</t>
    </r>
  </si>
  <si>
    <r>
      <rPr>
        <b/>
        <sz val="8"/>
        <rFont val="Times New Roman"/>
        <family val="1"/>
      </rPr>
      <t>04:00</t>
    </r>
  </si>
  <si>
    <r>
      <rPr>
        <b/>
        <sz val="8"/>
        <rFont val="Times New Roman"/>
        <family val="1"/>
      </rPr>
      <t>05:00</t>
    </r>
  </si>
  <si>
    <r>
      <rPr>
        <b/>
        <sz val="8"/>
        <rFont val="Times New Roman"/>
        <family val="1"/>
      </rPr>
      <t>06:00</t>
    </r>
  </si>
  <si>
    <r>
      <rPr>
        <b/>
        <sz val="8"/>
        <rFont val="Times New Roman"/>
        <family val="1"/>
      </rPr>
      <t>07:00</t>
    </r>
  </si>
  <si>
    <r>
      <rPr>
        <b/>
        <sz val="8"/>
        <rFont val="Times New Roman"/>
        <family val="1"/>
      </rPr>
      <t>08:00</t>
    </r>
  </si>
  <si>
    <r>
      <rPr>
        <b/>
        <sz val="8"/>
        <rFont val="Times New Roman"/>
        <family val="1"/>
      </rPr>
      <t>09:00</t>
    </r>
  </si>
  <si>
    <r>
      <rPr>
        <b/>
        <sz val="8"/>
        <rFont val="Times New Roman"/>
        <family val="1"/>
      </rPr>
      <t>10:00</t>
    </r>
  </si>
  <si>
    <r>
      <rPr>
        <b/>
        <sz val="8"/>
        <rFont val="Times New Roman"/>
        <family val="1"/>
      </rPr>
      <t>11:00</t>
    </r>
  </si>
  <si>
    <r>
      <rPr>
        <b/>
        <sz val="8"/>
        <rFont val="Times New Roman"/>
        <family val="1"/>
      </rPr>
      <t>12:00</t>
    </r>
  </si>
  <si>
    <r>
      <rPr>
        <b/>
        <sz val="8"/>
        <rFont val="Times New Roman"/>
        <family val="1"/>
      </rPr>
      <t>13:00</t>
    </r>
  </si>
  <si>
    <r>
      <rPr>
        <b/>
        <sz val="8"/>
        <rFont val="Times New Roman"/>
        <family val="1"/>
      </rPr>
      <t>14:00</t>
    </r>
  </si>
  <si>
    <r>
      <rPr>
        <b/>
        <sz val="8"/>
        <rFont val="Times New Roman"/>
        <family val="1"/>
      </rPr>
      <t>15:00</t>
    </r>
  </si>
  <si>
    <r>
      <rPr>
        <b/>
        <sz val="8"/>
        <rFont val="Times New Roman"/>
        <family val="1"/>
      </rPr>
      <t>16:00</t>
    </r>
  </si>
  <si>
    <r>
      <rPr>
        <b/>
        <sz val="8"/>
        <rFont val="Times New Roman"/>
        <family val="1"/>
      </rPr>
      <t>17:00</t>
    </r>
  </si>
  <si>
    <r>
      <rPr>
        <b/>
        <sz val="8"/>
        <rFont val="Times New Roman"/>
        <family val="1"/>
      </rPr>
      <t>18:00</t>
    </r>
  </si>
  <si>
    <r>
      <rPr>
        <b/>
        <sz val="8"/>
        <rFont val="Times New Roman"/>
        <family val="1"/>
      </rPr>
      <t>19:00</t>
    </r>
  </si>
  <si>
    <r>
      <rPr>
        <b/>
        <sz val="8"/>
        <rFont val="Times New Roman"/>
        <family val="1"/>
      </rPr>
      <t>20:00</t>
    </r>
  </si>
  <si>
    <r>
      <rPr>
        <b/>
        <sz val="8"/>
        <rFont val="Times New Roman"/>
        <family val="1"/>
      </rPr>
      <t>21:00</t>
    </r>
  </si>
  <si>
    <r>
      <rPr>
        <b/>
        <sz val="8"/>
        <rFont val="Times New Roman"/>
        <family val="1"/>
      </rPr>
      <t>22:00</t>
    </r>
  </si>
  <si>
    <r>
      <rPr>
        <b/>
        <sz val="8"/>
        <rFont val="Times New Roman"/>
        <family val="1"/>
      </rPr>
      <t>23:00</t>
    </r>
  </si>
  <si>
    <r>
      <rPr>
        <b/>
        <sz val="8"/>
        <rFont val="Times New Roman"/>
        <family val="1"/>
      </rPr>
      <t>Volume</t>
    </r>
  </si>
  <si>
    <r>
      <rPr>
        <b/>
        <sz val="8"/>
        <rFont val="Times New Roman"/>
        <family val="1"/>
      </rPr>
      <t>AM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Vol</t>
    </r>
  </si>
  <si>
    <r>
      <rPr>
        <b/>
        <sz val="8"/>
        <rFont val="Times New Roman"/>
        <family val="1"/>
      </rPr>
      <t>AM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</si>
  <si>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b/>
        <sz val="8"/>
        <rFont val="Times New Roman"/>
        <family val="1"/>
      </rPr>
      <t>AM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Hr</t>
    </r>
  </si>
  <si>
    <r>
      <rPr>
        <sz val="8"/>
        <rFont val="Times New Roman"/>
        <family val="1"/>
      </rPr>
      <t>11:00</t>
    </r>
  </si>
  <si>
    <r>
      <rPr>
        <b/>
        <sz val="8"/>
        <rFont val="Times New Roman"/>
        <family val="1"/>
      </rPr>
      <t>PM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Vol</t>
    </r>
  </si>
  <si>
    <r>
      <rPr>
        <b/>
        <sz val="8"/>
        <rFont val="Times New Roman"/>
        <family val="1"/>
      </rPr>
      <t>PM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</si>
  <si>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b/>
        <sz val="8"/>
        <rFont val="Times New Roman"/>
        <family val="1"/>
      </rPr>
      <t>PM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Peak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Hr</t>
    </r>
  </si>
  <si>
    <r>
      <rPr>
        <sz val="8"/>
        <rFont val="Times New Roman"/>
        <family val="1"/>
      </rPr>
      <t>16:30</t>
    </r>
  </si>
  <si>
    <r>
      <rPr>
        <sz val="8"/>
        <rFont val="Times New Roman"/>
        <family val="1"/>
      </rPr>
      <t>16:15</t>
    </r>
  </si>
  <si>
    <r>
      <rPr>
        <b/>
        <sz val="8"/>
        <rFont val="Times New Roman"/>
        <family val="1"/>
      </rPr>
      <t>Seasonal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</si>
  <si>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b/>
        <sz val="8"/>
        <rFont val="Times New Roman"/>
        <family val="1"/>
      </rPr>
      <t>Daily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</si>
  <si>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b/>
        <sz val="8"/>
        <rFont val="Times New Roman"/>
        <family val="1"/>
      </rPr>
      <t>Axle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</si>
  <si>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b/>
        <sz val="8"/>
        <rFont val="Times New Roman"/>
        <family val="1"/>
      </rPr>
      <t>Pulse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Fct</t>
    </r>
  </si>
  <si>
    <r>
      <rPr>
        <sz val="10"/>
        <rFont val="Times New Roman"/>
        <family val="1"/>
      </rPr>
      <t>Collected by:   MoDOT</t>
    </r>
  </si>
  <si>
    <r>
      <rPr>
        <sz val="8"/>
        <rFont val="Times New Roman"/>
        <family val="1"/>
      </rPr>
      <t>Created   10/16/2019   8:36:38AM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</si>
  <si>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1,984</t>
    </r>
    <r>
      <rPr>
        <sz val="8"/>
        <rFont val="Times New Roman"/>
        <family val="1"/>
      </rPr>
      <t xml:space="preserve">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1,984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</si>
  <si>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8"/>
        <rFont val="Times New Roman"/>
        <family val="1"/>
      </rPr>
      <t>DV03:</t>
    </r>
  </si>
  <si>
    <r>
      <rPr>
        <sz val="8"/>
        <rFont val="Times New Roman"/>
        <family val="1"/>
      </rPr>
      <t>Page 1 of 1</t>
    </r>
  </si>
  <si>
    <r>
      <rPr>
        <sz val="10"/>
        <rFont val="Times New Roman"/>
        <family val="1"/>
      </rPr>
      <t>019-010155-3</t>
    </r>
  </si>
  <si>
    <r>
      <rPr>
        <b/>
        <sz val="14"/>
        <rFont val="Times New Roman"/>
        <family val="1"/>
      </rPr>
      <t>Daily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Volume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from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03/27/2017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through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03/29/2017</t>
    </r>
  </si>
  <si>
    <r>
      <rPr>
        <sz val="10"/>
        <rFont val="Times New Roman"/>
        <family val="1"/>
      </rPr>
      <t>Urban Principal Arterial - Other Freeways 861_US 71S TO MO 58</t>
    </r>
  </si>
  <si>
    <r>
      <rPr>
        <b/>
        <sz val="8"/>
        <rFont val="Times New Roman"/>
        <family val="1"/>
      </rPr>
      <t>Sun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03/26/2017</t>
    </r>
  </si>
  <si>
    <r>
      <rPr>
        <b/>
        <sz val="8"/>
        <rFont val="Times New Roman"/>
        <family val="1"/>
      </rPr>
      <t>Mon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03/27/2017</t>
    </r>
  </si>
  <si>
    <r>
      <rPr>
        <b/>
        <sz val="8"/>
        <rFont val="Times New Roman"/>
        <family val="1"/>
      </rPr>
      <t>Tue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03/28/2017</t>
    </r>
  </si>
  <si>
    <r>
      <rPr>
        <b/>
        <sz val="8"/>
        <rFont val="Times New Roman"/>
        <family val="1"/>
      </rPr>
      <t>Wed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03/29/2017</t>
    </r>
  </si>
  <si>
    <r>
      <rPr>
        <b/>
        <sz val="8"/>
        <rFont val="Times New Roman"/>
        <family val="1"/>
      </rPr>
      <t>Thu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03/30/2017</t>
    </r>
  </si>
  <si>
    <r>
      <rPr>
        <b/>
        <sz val="8"/>
        <rFont val="Times New Roman"/>
        <family val="1"/>
      </rPr>
      <t>Fri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03/31/2017</t>
    </r>
  </si>
  <si>
    <r>
      <rPr>
        <b/>
        <sz val="8"/>
        <rFont val="Times New Roman"/>
        <family val="1"/>
      </rPr>
      <t>Sat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04/01/2017</t>
    </r>
  </si>
  <si>
    <r>
      <rPr>
        <sz val="8"/>
        <rFont val="Times New Roman"/>
        <family val="1"/>
      </rPr>
      <t>17:15</t>
    </r>
  </si>
  <si>
    <r>
      <rPr>
        <sz val="8"/>
        <rFont val="Times New Roman"/>
        <family val="1"/>
      </rPr>
      <t>17:00</t>
    </r>
  </si>
  <si>
    <r>
      <rPr>
        <sz val="8"/>
        <rFont val="Times New Roman"/>
        <family val="1"/>
      </rPr>
      <t>Created   10/16/2019   9:01:33AM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</si>
  <si>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11,919</t>
    </r>
    <r>
      <rPr>
        <sz val="8"/>
        <rFont val="Times New Roman"/>
        <family val="1"/>
      </rPr>
      <t xml:space="preserve">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11,919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</si>
  <si>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019-010154-3</t>
    </r>
  </si>
  <si>
    <r>
      <rPr>
        <sz val="10"/>
        <rFont val="Times New Roman"/>
        <family val="1"/>
      </rPr>
      <t>Urban Principal Arterial - Other Freeways 862_US71S TO RTY</t>
    </r>
  </si>
  <si>
    <r>
      <rPr>
        <sz val="8"/>
        <rFont val="Times New Roman"/>
        <family val="1"/>
      </rPr>
      <t>16:45</t>
    </r>
  </si>
  <si>
    <r>
      <rPr>
        <sz val="8"/>
        <rFont val="Times New Roman"/>
        <family val="1"/>
      </rPr>
      <t>Created   10/16/2019   8:36:33AM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</si>
  <si>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10,413</t>
    </r>
    <r>
      <rPr>
        <sz val="8"/>
        <rFont val="Times New Roman"/>
        <family val="1"/>
      </rPr>
      <t xml:space="preserve">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10,413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</si>
  <si>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019-009882-1</t>
    </r>
  </si>
  <si>
    <r>
      <rPr>
        <sz val="10"/>
        <rFont val="Times New Roman"/>
        <family val="1"/>
      </rPr>
      <t>Urban Principal Arterial - Other Freeways 861_US71N TO MO58</t>
    </r>
  </si>
  <si>
    <r>
      <rPr>
        <sz val="8"/>
        <rFont val="Times New Roman"/>
        <family val="1"/>
      </rPr>
      <t>7:15</t>
    </r>
  </si>
  <si>
    <r>
      <rPr>
        <sz val="8"/>
        <rFont val="Times New Roman"/>
        <family val="1"/>
      </rPr>
      <t>7:30</t>
    </r>
  </si>
  <si>
    <r>
      <rPr>
        <sz val="8"/>
        <rFont val="Times New Roman"/>
        <family val="1"/>
      </rPr>
      <t>12:00</t>
    </r>
  </si>
  <si>
    <r>
      <rPr>
        <sz val="8"/>
        <rFont val="Times New Roman"/>
        <family val="1"/>
      </rPr>
      <t>Created   10/16/2019   8:36:47AM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</si>
  <si>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3,249</t>
    </r>
    <r>
      <rPr>
        <sz val="8"/>
        <rFont val="Times New Roman"/>
        <family val="1"/>
      </rPr>
      <t xml:space="preserve">       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3,249</t>
    </r>
  </si>
  <si>
    <r>
      <rPr>
        <sz val="10"/>
        <rFont val="Times New Roman"/>
        <family val="1"/>
      </rPr>
      <t>019-009790-2</t>
    </r>
  </si>
  <si>
    <r>
      <rPr>
        <sz val="10"/>
        <rFont val="Times New Roman"/>
        <family val="1"/>
      </rPr>
      <t>Urban Principal Arterial - Other Freeways 862_US 71N TO 163RD ST</t>
    </r>
  </si>
  <si>
    <r>
      <rPr>
        <b/>
        <sz val="8"/>
        <rFont val="Times New Roman"/>
        <family val="1"/>
      </rPr>
      <t>W</t>
    </r>
  </si>
  <si>
    <r>
      <rPr>
        <b/>
        <sz val="8"/>
        <rFont val="Times New Roman"/>
        <family val="1"/>
      </rPr>
      <t>E</t>
    </r>
  </si>
  <si>
    <r>
      <rPr>
        <sz val="8"/>
        <rFont val="Times New Roman"/>
        <family val="1"/>
      </rPr>
      <t>8:45</t>
    </r>
  </si>
  <si>
    <r>
      <rPr>
        <sz val="8"/>
        <rFont val="Times New Roman"/>
        <family val="1"/>
      </rPr>
      <t>Created   10/16/2019   8:36:42AM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</si>
  <si>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2,138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W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2,138</t>
    </r>
  </si>
  <si>
    <r>
      <rPr>
        <sz val="10"/>
        <rFont val="Times New Roman"/>
        <family val="1"/>
      </rPr>
      <t>019-009733-2</t>
    </r>
  </si>
  <si>
    <r>
      <rPr>
        <sz val="10"/>
        <rFont val="Times New Roman"/>
        <family val="1"/>
      </rPr>
      <t>Urban Principal Arterial - Other Freeways 861_MO58 TO US71S</t>
    </r>
  </si>
  <si>
    <r>
      <rPr>
        <sz val="8"/>
        <rFont val="Times New Roman"/>
        <family val="1"/>
      </rPr>
      <t>10:45</t>
    </r>
  </si>
  <si>
    <r>
      <rPr>
        <sz val="8"/>
        <rFont val="Times New Roman"/>
        <family val="1"/>
      </rPr>
      <t>16:00</t>
    </r>
  </si>
  <si>
    <r>
      <rPr>
        <sz val="8"/>
        <rFont val="Times New Roman"/>
        <family val="1"/>
      </rPr>
      <t>Created   10/16/2019   8:36:09AM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</si>
  <si>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3,882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W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3,882</t>
    </r>
  </si>
  <si>
    <r>
      <rPr>
        <sz val="10"/>
        <rFont val="Times New Roman"/>
        <family val="1"/>
      </rPr>
      <t>019-009732-4</t>
    </r>
  </si>
  <si>
    <r>
      <rPr>
        <sz val="10"/>
        <rFont val="Times New Roman"/>
        <family val="1"/>
      </rPr>
      <t>Urban Principal Arterial - Other Freeways 861_MO58 TO US71N</t>
    </r>
  </si>
  <si>
    <r>
      <rPr>
        <sz val="8"/>
        <rFont val="Times New Roman"/>
        <family val="1"/>
      </rPr>
      <t>6:30</t>
    </r>
  </si>
  <si>
    <r>
      <rPr>
        <sz val="8"/>
        <rFont val="Times New Roman"/>
        <family val="1"/>
      </rPr>
      <t>6:15</t>
    </r>
  </si>
  <si>
    <r>
      <rPr>
        <sz val="8"/>
        <rFont val="Times New Roman"/>
        <family val="1"/>
      </rPr>
      <t>Created   10/16/2019   8:36:24AM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</si>
  <si>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12,887</t>
    </r>
    <r>
      <rPr>
        <sz val="8"/>
        <rFont val="Times New Roman"/>
        <family val="1"/>
      </rPr>
      <t xml:space="preserve">                                </t>
    </r>
    <r>
      <rPr>
        <b/>
        <sz val="8"/>
        <rFont val="Times New Roman"/>
        <family val="1"/>
      </rPr>
      <t>W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12,887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</si>
  <si>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019-000592-1</t>
    </r>
  </si>
  <si>
    <r>
      <rPr>
        <b/>
        <sz val="14"/>
        <rFont val="Times New Roman"/>
        <family val="1"/>
      </rPr>
      <t>Daily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Volume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from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04/24/2017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through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04/26/2017</t>
    </r>
  </si>
  <si>
    <r>
      <rPr>
        <sz val="10"/>
        <rFont val="Times New Roman"/>
        <family val="1"/>
      </rPr>
      <t>SFGID 002</t>
    </r>
  </si>
  <si>
    <r>
      <rPr>
        <sz val="10"/>
        <rFont val="Times New Roman"/>
        <family val="1"/>
      </rPr>
      <t>Urban Principal Arterial - Other Freeways</t>
    </r>
  </si>
  <si>
    <r>
      <rPr>
        <sz val="10"/>
        <rFont val="Times New Roman"/>
        <family val="1"/>
      </rPr>
      <t>???_N CASS PKWY TO US 71 N</t>
    </r>
  </si>
  <si>
    <r>
      <rPr>
        <sz val="10"/>
        <rFont val="Times New Roman"/>
        <family val="1"/>
      </rPr>
      <t>AFGID 002</t>
    </r>
  </si>
  <si>
    <r>
      <rPr>
        <b/>
        <sz val="8"/>
        <rFont val="Times New Roman"/>
        <family val="1"/>
      </rPr>
      <t>Sun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04/23/2017</t>
    </r>
  </si>
  <si>
    <r>
      <rPr>
        <b/>
        <sz val="8"/>
        <rFont val="Times New Roman"/>
        <family val="1"/>
      </rPr>
      <t>Mon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04/24/2017</t>
    </r>
  </si>
  <si>
    <r>
      <rPr>
        <b/>
        <sz val="8"/>
        <rFont val="Times New Roman"/>
        <family val="1"/>
      </rPr>
      <t>Tue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04/25/2017</t>
    </r>
  </si>
  <si>
    <r>
      <rPr>
        <b/>
        <sz val="8"/>
        <rFont val="Times New Roman"/>
        <family val="1"/>
      </rPr>
      <t>Wed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04/26/2017</t>
    </r>
  </si>
  <si>
    <r>
      <rPr>
        <b/>
        <sz val="8"/>
        <rFont val="Times New Roman"/>
        <family val="1"/>
      </rPr>
      <t>Thu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04/27/2017</t>
    </r>
  </si>
  <si>
    <r>
      <rPr>
        <b/>
        <sz val="8"/>
        <rFont val="Times New Roman"/>
        <family val="1"/>
      </rPr>
      <t>Fri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04/28/2017</t>
    </r>
  </si>
  <si>
    <r>
      <rPr>
        <b/>
        <sz val="8"/>
        <rFont val="Times New Roman"/>
        <family val="1"/>
      </rPr>
      <t>Sat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04/29/2017</t>
    </r>
  </si>
  <si>
    <r>
      <rPr>
        <sz val="8"/>
        <rFont val="Times New Roman"/>
        <family val="1"/>
      </rPr>
      <t>Created   10/16/2019   8:37:13AM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</si>
  <si>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1,824</t>
    </r>
    <r>
      <rPr>
        <sz val="8"/>
        <rFont val="Times New Roman"/>
        <family val="1"/>
      </rPr>
      <t xml:space="preserve">       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1,824</t>
    </r>
  </si>
  <si>
    <r>
      <rPr>
        <sz val="10"/>
        <rFont val="Times New Roman"/>
        <family val="1"/>
      </rPr>
      <t>019-000591-1</t>
    </r>
  </si>
  <si>
    <r>
      <rPr>
        <sz val="10"/>
        <rFont val="Times New Roman"/>
        <family val="1"/>
      </rPr>
      <t>???_US 71N TO N CASS PKWY</t>
    </r>
  </si>
  <si>
    <r>
      <rPr>
        <sz val="8"/>
        <rFont val="Times New Roman"/>
        <family val="1"/>
      </rPr>
      <t>Created   10/16/2019   8:37:09AM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</si>
  <si>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1,810</t>
    </r>
    <r>
      <rPr>
        <sz val="8"/>
        <rFont val="Times New Roman"/>
        <family val="1"/>
      </rPr>
      <t xml:space="preserve">       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1,810</t>
    </r>
  </si>
  <si>
    <r>
      <rPr>
        <sz val="10"/>
        <rFont val="Times New Roman"/>
        <family val="1"/>
      </rPr>
      <t>019-000590-3</t>
    </r>
  </si>
  <si>
    <r>
      <rPr>
        <sz val="10"/>
        <rFont val="Times New Roman"/>
        <family val="1"/>
      </rPr>
      <t>???_N CASS PKWY TO US 71S</t>
    </r>
  </si>
  <si>
    <r>
      <rPr>
        <sz val="8"/>
        <rFont val="Times New Roman"/>
        <family val="1"/>
      </rPr>
      <t>6:45</t>
    </r>
  </si>
  <si>
    <r>
      <rPr>
        <sz val="8"/>
        <rFont val="Times New Roman"/>
        <family val="1"/>
      </rPr>
      <t>Created   10/16/2019   8:36:04AM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</si>
  <si>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1,851</t>
    </r>
    <r>
      <rPr>
        <sz val="8"/>
        <rFont val="Times New Roman"/>
        <family val="1"/>
      </rPr>
      <t xml:space="preserve">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1,851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</si>
  <si>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019-000589-3</t>
    </r>
  </si>
  <si>
    <r>
      <rPr>
        <sz val="10"/>
        <rFont val="Times New Roman"/>
        <family val="1"/>
      </rPr>
      <t>???_US 71S TO N CASS PKWY</t>
    </r>
  </si>
  <si>
    <r>
      <rPr>
        <sz val="8"/>
        <rFont val="Times New Roman"/>
        <family val="1"/>
      </rPr>
      <t>Created   10/16/2019   8:36:14AM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</si>
  <si>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1,652</t>
    </r>
    <r>
      <rPr>
        <sz val="8"/>
        <rFont val="Times New Roman"/>
        <family val="1"/>
      </rPr>
      <t xml:space="preserve">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1,652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</si>
  <si>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019-000177-3</t>
    </r>
  </si>
  <si>
    <r>
      <rPr>
        <sz val="10"/>
        <rFont val="Times New Roman"/>
        <family val="1"/>
      </rPr>
      <t>Urban Principal Arterial - Other Freeways US 71 S/O MO 58</t>
    </r>
  </si>
  <si>
    <r>
      <rPr>
        <sz val="8"/>
        <rFont val="Times New Roman"/>
        <family val="1"/>
      </rPr>
      <t>15:45</t>
    </r>
  </si>
  <si>
    <r>
      <rPr>
        <sz val="8"/>
        <rFont val="Times New Roman"/>
        <family val="1"/>
      </rPr>
      <t>Created   10/16/2019   8:36:53AM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</si>
  <si>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20,046</t>
    </r>
    <r>
      <rPr>
        <sz val="8"/>
        <rFont val="Times New Roman"/>
        <family val="1"/>
      </rPr>
      <t xml:space="preserve">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20,046</t>
    </r>
    <r>
      <rPr>
        <sz val="8"/>
        <rFont val="Times New Roman"/>
        <family val="1"/>
      </rPr>
      <t xml:space="preserve">         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</si>
  <si>
    <r>
      <rPr>
        <sz val="10"/>
        <rFont val="Times New Roman"/>
        <family val="1"/>
      </rPr>
      <t>019-000177-1</t>
    </r>
  </si>
  <si>
    <r>
      <rPr>
        <sz val="8"/>
        <rFont val="Times New Roman"/>
        <family val="1"/>
      </rPr>
      <t>Created   10/16/2019   8:36:59AM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</si>
  <si>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20,812</t>
    </r>
    <r>
      <rPr>
        <sz val="8"/>
        <rFont val="Times New Roman"/>
        <family val="1"/>
      </rPr>
      <t xml:space="preserve">                                           </t>
    </r>
    <r>
      <rPr>
        <b/>
        <sz val="8"/>
        <rFont val="Times New Roman"/>
        <family val="1"/>
      </rPr>
      <t>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</t>
    </r>
    <r>
      <rPr>
        <b/>
        <sz val="8"/>
        <rFont val="Times New Roman"/>
        <family val="1"/>
      </rPr>
      <t>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20,812</t>
    </r>
  </si>
  <si>
    <t>I-49/US-71 North of 163rd Street</t>
  </si>
  <si>
    <t>I-49/US-71/163rd Street OFR</t>
  </si>
  <si>
    <t>I-49/US-71/163rd Street Interchange</t>
  </si>
  <si>
    <t>I-49/US-71/163rd Street ONR</t>
  </si>
  <si>
    <t>I-49/US-71 North of MO58</t>
  </si>
  <si>
    <t>I-49/US-71/MO58 OFR</t>
  </si>
  <si>
    <t>I-49/US-71/MO-58 Interchange</t>
  </si>
  <si>
    <t>I-49/US-71/MO58 ONR</t>
  </si>
  <si>
    <t>I-49/US-71 North of N Cass Parkway</t>
  </si>
  <si>
    <t>I-49/US-71/N Cass Parkway OFR</t>
  </si>
  <si>
    <t>I-49/US-71/N Cass Parkway Interchange</t>
  </si>
  <si>
    <t>I-49/US-71/N Cass Parkway ONR</t>
  </si>
  <si>
    <t>I-49/US-71/South of N Cass Parkway</t>
  </si>
  <si>
    <t>Segment Type</t>
  </si>
  <si>
    <t>Segment Name</t>
  </si>
  <si>
    <r>
      <rPr>
        <sz val="10"/>
        <rFont val="Times New Roman"/>
        <family val="1"/>
      </rPr>
      <t>019-010398-2</t>
    </r>
  </si>
  <si>
    <r>
      <rPr>
        <sz val="10"/>
        <rFont val="Times New Roman"/>
        <family val="1"/>
      </rPr>
      <t>Urban Principal Arterial - Other Freeways 862_163RD ST TO US71S</t>
    </r>
  </si>
  <si>
    <r>
      <rPr>
        <sz val="8"/>
        <rFont val="Times New Roman"/>
        <family val="1"/>
      </rPr>
      <t>15:15</t>
    </r>
  </si>
  <si>
    <r>
      <rPr>
        <sz val="8"/>
        <rFont val="Times New Roman"/>
        <family val="1"/>
      </rPr>
      <t>Created   10/16/2019   8:36:29AM</t>
    </r>
  </si>
  <si>
    <r>
      <rPr>
        <b/>
        <sz val="8"/>
        <rFont val="Times New Roman"/>
        <family val="1"/>
      </rPr>
      <t>ROAD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9,955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W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                                        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AADT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9,955</t>
    </r>
  </si>
  <si>
    <t>Northbound</t>
  </si>
  <si>
    <t>TYPE</t>
  </si>
  <si>
    <t>AADT</t>
  </si>
  <si>
    <t>Growth Rate</t>
  </si>
  <si>
    <t>Southbound</t>
  </si>
  <si>
    <t xml:space="preserve"> TYPE</t>
  </si>
  <si>
    <t xml:space="preserve">southbound </t>
  </si>
  <si>
    <t>northbound</t>
  </si>
  <si>
    <t>%</t>
  </si>
  <si>
    <t>Total Approach Volumes</t>
  </si>
  <si>
    <t>PHF</t>
  </si>
  <si>
    <t>After Peak Hour</t>
  </si>
  <si>
    <t>Before Peak Hour</t>
  </si>
  <si>
    <t>CrashSummary_NB49_14to18.xlsx</t>
  </si>
  <si>
    <t>CrashSummary_SB49_14to18.xlsx</t>
  </si>
  <si>
    <t>*HCM SYNCHRO recommended values.</t>
  </si>
  <si>
    <t>Suggested PHF*</t>
  </si>
  <si>
    <t xml:space="preserve"> Truck Percentage* </t>
  </si>
  <si>
    <t xml:space="preserve">Southbound </t>
  </si>
  <si>
    <t>south 155th ramps</t>
  </si>
  <si>
    <t>*Pulled from MoDOT Data Zone App</t>
  </si>
  <si>
    <t>Location</t>
  </si>
  <si>
    <t>Mainline Locations</t>
  </si>
  <si>
    <t>No Data</t>
  </si>
  <si>
    <t>Southbound %</t>
  </si>
  <si>
    <t>Northbound %</t>
  </si>
  <si>
    <t>*Pulled From Traffic Volume Forcast Spreadsheet</t>
  </si>
  <si>
    <t>Segment Length (ft)</t>
  </si>
  <si>
    <t>Truck Percentage* Mainline Only</t>
  </si>
  <si>
    <t>TMS Locations</t>
  </si>
  <si>
    <t>Locations</t>
  </si>
  <si>
    <t>Distribution of Hourly Flows - Off Peak</t>
  </si>
  <si>
    <t xml:space="preserve">Hourly Flow Rate Distribution Check  </t>
  </si>
  <si>
    <t>*</t>
  </si>
  <si>
    <t>Average Growth Rate (2017-2020)</t>
  </si>
  <si>
    <t>*Pulled From Volume Forcast Spreadsheet</t>
  </si>
  <si>
    <t>Growth Rate By Segment/Ramps Using MoDOT 2017 Volumes**** DO NOT USE***</t>
  </si>
  <si>
    <t>Average</t>
  </si>
  <si>
    <t xml:space="preserve">Single Unit Truck and Bus Percentage* </t>
  </si>
  <si>
    <t xml:space="preserve">Total Truck (Tractor Trailer Percentage* </t>
  </si>
  <si>
    <t xml:space="preserve">Total Truck (Single Unit/Tractor Trailer) Percentage* </t>
  </si>
  <si>
    <t>I-49/US-71 North of 163rd Street 3-2 Transition</t>
  </si>
  <si>
    <t>I-49/US-71/155th Street OFR</t>
  </si>
  <si>
    <t>I-49/US-71/155th Street Interchange</t>
  </si>
  <si>
    <t>Count from 2019</t>
  </si>
  <si>
    <t>I-49 (MO150 to 155th)</t>
  </si>
  <si>
    <t>Peak Hour Volume Counts From Volume Forecast Spreadsheet</t>
  </si>
  <si>
    <t>Peak Hour Volume Counts</t>
  </si>
  <si>
    <t>Based on count from 2019</t>
  </si>
  <si>
    <t>Average Growth Rate (2020-2045)*</t>
  </si>
  <si>
    <t>Growth Rate Based On MoDOT Crash Summary Data</t>
  </si>
  <si>
    <t>Comined Semi-Trailer Percentages* Mainline Only</t>
  </si>
  <si>
    <t>Single Unit Truck Percentage* Mainline Only</t>
  </si>
  <si>
    <t>Passenger Car Percentage* Mainline Only</t>
  </si>
  <si>
    <t>Bus Percentage* Mainline Only</t>
  </si>
  <si>
    <t>Motorcycle Percentage* Mainline Only</t>
  </si>
  <si>
    <t>Existing 2020 PHV AM Mainline Only</t>
  </si>
  <si>
    <t>AM</t>
  </si>
  <si>
    <t>PM</t>
  </si>
  <si>
    <t>DHV 2023 Mainline Only</t>
  </si>
  <si>
    <t>DHV 2045 Mainline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</si>
</sst>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[$-F400]h:mm:ss\ AM/PM"/>
    <numFmt numFmtId="166" formatCode="0.000"/>
    <numFmt numFmtId="167" formatCode="0.0000"/>
    <numFmt numFmtId="16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6" tint="-0.249977111117893"/>
      <name val="Arial Narrow"/>
      <family val="2"/>
    </font>
    <font>
      <b/>
      <sz val="12"/>
      <color theme="6" tint="-0.249977111117893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1"/>
      <name val="Arial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9.75"/>
      <color rgb="FFFFFFFF"/>
      <name val="Times New Roman"/>
      <family val="1"/>
    </font>
    <font>
      <sz val="9.75"/>
      <color rgb="FF000000"/>
      <name val="Times New Roman"/>
      <family val="1"/>
    </font>
    <font>
      <sz val="9.75"/>
      <color rgb="FFFFFFFF"/>
      <name val="Times New Roman"/>
      <family val="1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1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0" fontId="7" fillId="5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0" fontId="8" fillId="5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6" borderId="0" xfId="0" applyNumberFormat="1" applyFont="1" applyFill="1" applyAlignment="1">
      <alignment horizontal="center" vertical="center"/>
    </xf>
    <xf numFmtId="0" fontId="0" fillId="6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2" applyAlignment="1">
      <alignment horizontal="center" vertical="center"/>
    </xf>
    <xf numFmtId="3" fontId="2" fillId="2" borderId="1" xfId="2" applyNumberFormat="1" applyAlignment="1">
      <alignment horizontal="center" vertical="center"/>
    </xf>
    <xf numFmtId="165" fontId="12" fillId="0" borderId="0" xfId="3" applyNumberFormat="1" applyFont="1" applyBorder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indent="32"/>
    </xf>
    <xf numFmtId="0" fontId="20" fillId="0" borderId="9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left" wrapText="1"/>
    </xf>
    <xf numFmtId="1" fontId="21" fillId="0" borderId="9" xfId="0" applyNumberFormat="1" applyFont="1" applyFill="1" applyBorder="1" applyAlignment="1">
      <alignment horizontal="right" vertical="top" shrinkToFit="1"/>
    </xf>
    <xf numFmtId="3" fontId="21" fillId="0" borderId="9" xfId="0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>
      <alignment horizontal="center" vertical="top" wrapText="1"/>
    </xf>
    <xf numFmtId="2" fontId="21" fillId="0" borderId="9" xfId="0" applyNumberFormat="1" applyFont="1" applyFill="1" applyBorder="1" applyAlignment="1">
      <alignment horizontal="right" vertical="top" shrinkToFit="1"/>
    </xf>
    <xf numFmtId="0" fontId="22" fillId="0" borderId="9" xfId="0" applyFont="1" applyFill="1" applyBorder="1" applyAlignment="1">
      <alignment horizontal="right" vertical="top" wrapText="1"/>
    </xf>
    <xf numFmtId="166" fontId="21" fillId="0" borderId="9" xfId="0" applyNumberFormat="1" applyFont="1" applyFill="1" applyBorder="1" applyAlignment="1">
      <alignment horizontal="right" vertical="top" shrinkToFit="1"/>
    </xf>
    <xf numFmtId="0" fontId="22" fillId="0" borderId="0" xfId="0" applyFont="1" applyFill="1" applyBorder="1" applyAlignment="1">
      <alignment horizontal="left" vertical="top"/>
    </xf>
    <xf numFmtId="1" fontId="0" fillId="0" borderId="0" xfId="0" applyNumberFormat="1" applyAlignment="1">
      <alignment horizontal="center"/>
    </xf>
    <xf numFmtId="1" fontId="0" fillId="0" borderId="0" xfId="1" applyNumberFormat="1" applyFont="1" applyFill="1" applyAlignment="1">
      <alignment horizontal="center" vertical="center"/>
    </xf>
    <xf numFmtId="1" fontId="0" fillId="4" borderId="0" xfId="1" applyNumberFormat="1" applyFont="1" applyFill="1" applyAlignment="1">
      <alignment horizontal="center" vertical="center"/>
    </xf>
    <xf numFmtId="165" fontId="12" fillId="4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4" fillId="7" borderId="2" xfId="0" applyNumberFormat="1" applyFont="1" applyFill="1" applyBorder="1" applyAlignment="1">
      <alignment horizontal="center" vertical="center" wrapText="1"/>
    </xf>
    <xf numFmtId="0" fontId="25" fillId="8" borderId="2" xfId="0" applyNumberFormat="1" applyFont="1" applyFill="1" applyBorder="1" applyAlignment="1">
      <alignment horizontal="right" vertical="center" wrapText="1"/>
    </xf>
    <xf numFmtId="167" fontId="27" fillId="0" borderId="0" xfId="0" applyNumberFormat="1" applyFont="1" applyAlignment="1">
      <alignment vertical="center"/>
    </xf>
    <xf numFmtId="10" fontId="0" fillId="0" borderId="0" xfId="1" applyNumberFormat="1" applyFont="1"/>
    <xf numFmtId="165" fontId="12" fillId="0" borderId="0" xfId="3" applyNumberFormat="1" applyFont="1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0" fillId="6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4" fillId="9" borderId="2" xfId="1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8" fontId="4" fillId="0" borderId="2" xfId="5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23" fillId="0" borderId="0" xfId="1" applyNumberFormat="1" applyFont="1" applyAlignment="1">
      <alignment horizontal="center"/>
    </xf>
    <xf numFmtId="0" fontId="23" fillId="0" borderId="0" xfId="0" applyFont="1"/>
    <xf numFmtId="0" fontId="0" fillId="11" borderId="0" xfId="0" applyFill="1"/>
    <xf numFmtId="0" fontId="23" fillId="0" borderId="13" xfId="0" applyFont="1" applyBorder="1"/>
    <xf numFmtId="0" fontId="0" fillId="0" borderId="13" xfId="0" applyFill="1" applyBorder="1"/>
    <xf numFmtId="0" fontId="0" fillId="0" borderId="13" xfId="0" applyBorder="1"/>
    <xf numFmtId="0" fontId="23" fillId="0" borderId="0" xfId="0" applyFont="1" applyBorder="1"/>
    <xf numFmtId="0" fontId="0" fillId="11" borderId="0" xfId="0" applyFill="1" applyBorder="1"/>
    <xf numFmtId="0" fontId="0" fillId="0" borderId="0" xfId="0" applyBorder="1"/>
    <xf numFmtId="1" fontId="0" fillId="11" borderId="0" xfId="1" applyNumberFormat="1" applyFont="1" applyFill="1" applyAlignment="1">
      <alignment horizontal="center" vertical="center"/>
    </xf>
    <xf numFmtId="165" fontId="12" fillId="11" borderId="0" xfId="3" applyNumberFormat="1" applyFont="1" applyFill="1" applyBorder="1" applyAlignment="1">
      <alignment horizontal="center"/>
    </xf>
    <xf numFmtId="1" fontId="0" fillId="11" borderId="0" xfId="0" applyNumberFormat="1" applyFill="1" applyAlignment="1">
      <alignment horizontal="center" vertical="center"/>
    </xf>
    <xf numFmtId="10" fontId="4" fillId="11" borderId="2" xfId="0" applyNumberFormat="1" applyFont="1" applyFill="1" applyBorder="1" applyAlignment="1">
      <alignment horizontal="center" vertical="center"/>
    </xf>
    <xf numFmtId="1" fontId="12" fillId="0" borderId="0" xfId="3" applyNumberFormat="1" applyFont="1" applyBorder="1" applyAlignment="1">
      <alignment horizontal="center"/>
    </xf>
    <xf numFmtId="1" fontId="12" fillId="11" borderId="0" xfId="3" applyNumberFormat="1" applyFont="1" applyFill="1" applyBorder="1" applyAlignment="1">
      <alignment horizontal="center"/>
    </xf>
    <xf numFmtId="1" fontId="12" fillId="4" borderId="0" xfId="3" applyNumberFormat="1" applyFont="1" applyFill="1" applyBorder="1" applyAlignment="1">
      <alignment horizontal="center"/>
    </xf>
    <xf numFmtId="0" fontId="12" fillId="0" borderId="0" xfId="3" applyNumberFormat="1" applyFont="1" applyBorder="1" applyAlignment="1">
      <alignment horizontal="center"/>
    </xf>
    <xf numFmtId="0" fontId="12" fillId="4" borderId="0" xfId="3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0" fillId="5" borderId="13" xfId="0" applyFill="1" applyBorder="1"/>
    <xf numFmtId="0" fontId="0" fillId="4" borderId="0" xfId="0" applyFill="1" applyAlignment="1">
      <alignment horizontal="center"/>
    </xf>
    <xf numFmtId="0" fontId="4" fillId="0" borderId="2" xfId="0" applyFont="1" applyBorder="1" applyAlignment="1">
      <alignment horizontal="left" vertical="center"/>
    </xf>
    <xf numFmtId="168" fontId="4" fillId="11" borderId="2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23" fillId="4" borderId="0" xfId="0" applyFont="1" applyFill="1"/>
    <xf numFmtId="1" fontId="23" fillId="0" borderId="0" xfId="0" applyNumberFormat="1" applyFont="1" applyAlignment="1">
      <alignment horizontal="left" vertical="top" wrapText="1"/>
    </xf>
    <xf numFmtId="1" fontId="0" fillId="11" borderId="0" xfId="0" applyNumberFormat="1" applyFill="1" applyAlignment="1">
      <alignment horizontal="center"/>
    </xf>
    <xf numFmtId="1" fontId="12" fillId="0" borderId="0" xfId="3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13" xfId="1" applyNumberFormat="1" applyFont="1" applyFill="1" applyBorder="1" applyAlignment="1">
      <alignment horizontal="center" vertical="center"/>
    </xf>
    <xf numFmtId="165" fontId="12" fillId="0" borderId="13" xfId="3" applyNumberFormat="1" applyFont="1" applyBorder="1" applyAlignment="1">
      <alignment horizontal="center"/>
    </xf>
    <xf numFmtId="1" fontId="0" fillId="0" borderId="13" xfId="0" applyNumberFormat="1" applyFill="1" applyBorder="1" applyAlignment="1">
      <alignment horizontal="center" vertical="center"/>
    </xf>
    <xf numFmtId="1" fontId="12" fillId="0" borderId="13" xfId="3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12" fillId="5" borderId="0" xfId="3" applyNumberFormat="1" applyFont="1" applyFill="1" applyBorder="1" applyAlignment="1">
      <alignment horizontal="center"/>
    </xf>
    <xf numFmtId="1" fontId="0" fillId="5" borderId="0" xfId="0" applyNumberFormat="1" applyFill="1" applyAlignment="1">
      <alignment horizontal="center" vertical="center"/>
    </xf>
    <xf numFmtId="1" fontId="12" fillId="5" borderId="0" xfId="3" applyNumberFormat="1" applyFont="1" applyFill="1" applyBorder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10" xfId="4" applyBorder="1" applyAlignment="1">
      <alignment horizontal="center" vertical="center"/>
    </xf>
    <xf numFmtId="0" fontId="28" fillId="0" borderId="12" xfId="4" applyBorder="1" applyAlignment="1">
      <alignment horizontal="center" vertical="center"/>
    </xf>
    <xf numFmtId="0" fontId="28" fillId="0" borderId="11" xfId="4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10" fontId="4" fillId="11" borderId="10" xfId="0" applyNumberFormat="1" applyFont="1" applyFill="1" applyBorder="1" applyAlignment="1">
      <alignment horizontal="center" vertical="center"/>
    </xf>
    <xf numFmtId="10" fontId="4" fillId="11" borderId="12" xfId="0" applyNumberFormat="1" applyFont="1" applyFill="1" applyBorder="1" applyAlignment="1">
      <alignment horizontal="center" vertical="center"/>
    </xf>
    <xf numFmtId="10" fontId="4" fillId="11" borderId="1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8" fillId="0" borderId="2" xfId="4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4" fillId="7" borderId="2" xfId="0" applyNumberFormat="1" applyFont="1" applyFill="1" applyBorder="1" applyAlignment="1">
      <alignment horizontal="center" vertical="center" wrapText="1"/>
    </xf>
    <xf numFmtId="49" fontId="25" fillId="8" borderId="2" xfId="0" applyNumberFormat="1" applyFont="1" applyFill="1" applyBorder="1" applyAlignment="1">
      <alignment horizontal="left" vertical="center" wrapText="1"/>
    </xf>
    <xf numFmtId="0" fontId="25" fillId="8" borderId="2" xfId="0" applyNumberFormat="1" applyFont="1" applyFill="1" applyBorder="1" applyAlignment="1">
      <alignment horizontal="right" vertical="center" wrapText="1"/>
    </xf>
    <xf numFmtId="0" fontId="23" fillId="0" borderId="10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10" fontId="0" fillId="9" borderId="10" xfId="1" applyNumberFormat="1" applyFont="1" applyFill="1" applyBorder="1" applyAlignment="1">
      <alignment horizontal="center"/>
    </xf>
    <xf numFmtId="10" fontId="0" fillId="9" borderId="12" xfId="1" applyNumberFormat="1" applyFont="1" applyFill="1" applyBorder="1" applyAlignment="1">
      <alignment horizontal="center"/>
    </xf>
    <xf numFmtId="10" fontId="0" fillId="9" borderId="11" xfId="1" applyNumberFormat="1" applyFont="1" applyFill="1" applyBorder="1" applyAlignment="1">
      <alignment horizontal="center"/>
    </xf>
    <xf numFmtId="10" fontId="27" fillId="11" borderId="2" xfId="1" applyNumberFormat="1" applyFont="1" applyFill="1" applyBorder="1" applyAlignment="1">
      <alignment horizontal="center" vertical="center"/>
    </xf>
    <xf numFmtId="0" fontId="25" fillId="8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7" borderId="10" xfId="0" applyNumberFormat="1" applyFont="1" applyFill="1" applyBorder="1" applyAlignment="1">
      <alignment horizontal="center" vertical="center" wrapText="1"/>
    </xf>
    <xf numFmtId="0" fontId="26" fillId="7" borderId="12" xfId="0" applyNumberFormat="1" applyFont="1" applyFill="1" applyBorder="1" applyAlignment="1">
      <alignment horizontal="center" vertical="center" wrapText="1"/>
    </xf>
    <xf numFmtId="0" fontId="26" fillId="7" borderId="11" xfId="0" applyNumberFormat="1" applyFont="1" applyFill="1" applyBorder="1" applyAlignment="1">
      <alignment horizontal="center" vertical="center" wrapText="1"/>
    </xf>
    <xf numFmtId="49" fontId="25" fillId="8" borderId="10" xfId="0" applyNumberFormat="1" applyFont="1" applyFill="1" applyBorder="1" applyAlignment="1">
      <alignment horizontal="left" vertical="center" wrapText="1"/>
    </xf>
    <xf numFmtId="49" fontId="25" fillId="8" borderId="12" xfId="0" applyNumberFormat="1" applyFont="1" applyFill="1" applyBorder="1" applyAlignment="1">
      <alignment horizontal="left" vertical="center" wrapText="1"/>
    </xf>
    <xf numFmtId="49" fontId="25" fillId="8" borderId="11" xfId="0" applyNumberFormat="1" applyFont="1" applyFill="1" applyBorder="1" applyAlignment="1">
      <alignment horizontal="left" vertical="center" wrapText="1"/>
    </xf>
    <xf numFmtId="0" fontId="24" fillId="7" borderId="10" xfId="0" applyNumberFormat="1" applyFont="1" applyFill="1" applyBorder="1" applyAlignment="1">
      <alignment horizontal="center" vertical="center" wrapText="1"/>
    </xf>
    <xf numFmtId="0" fontId="24" fillId="7" borderId="12" xfId="0" applyNumberFormat="1" applyFont="1" applyFill="1" applyBorder="1" applyAlignment="1">
      <alignment horizontal="center" vertical="center" wrapText="1"/>
    </xf>
    <xf numFmtId="0" fontId="24" fillId="7" borderId="11" xfId="0" applyNumberFormat="1" applyFont="1" applyFill="1" applyBorder="1" applyAlignment="1">
      <alignment horizontal="center" vertical="center" wrapText="1"/>
    </xf>
    <xf numFmtId="0" fontId="25" fillId="8" borderId="10" xfId="0" applyNumberFormat="1" applyFont="1" applyFill="1" applyBorder="1" applyAlignment="1">
      <alignment horizontal="center" vertical="center" wrapText="1"/>
    </xf>
    <xf numFmtId="0" fontId="25" fillId="8" borderId="12" xfId="0" applyNumberFormat="1" applyFont="1" applyFill="1" applyBorder="1" applyAlignment="1">
      <alignment horizontal="center" vertical="center" wrapText="1"/>
    </xf>
    <xf numFmtId="0" fontId="25" fillId="8" borderId="1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/>
    </xf>
    <xf numFmtId="10" fontId="0" fillId="9" borderId="2" xfId="1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0" fontId="0" fillId="0" borderId="5" xfId="0" applyFill="1" applyBorder="1" applyAlignment="1">
      <alignment horizontal="left" vertical="top" wrapText="1" indent="2"/>
    </xf>
    <xf numFmtId="0" fontId="0" fillId="0" borderId="6" xfId="0" applyFill="1" applyBorder="1" applyAlignment="1">
      <alignment horizontal="left" vertical="top" wrapText="1" indent="2"/>
    </xf>
    <xf numFmtId="0" fontId="0" fillId="0" borderId="7" xfId="0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168" fontId="4" fillId="0" borderId="2" xfId="5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1" fontId="4" fillId="0" borderId="2" xfId="5" applyNumberFormat="1" applyFont="1" applyBorder="1" applyAlignment="1">
      <alignment horizontal="center" vertical="center"/>
    </xf>
    <xf numFmtId="1" fontId="4" fillId="1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</cellXfs>
  <cellStyles count="6">
    <cellStyle name="Comma" xfId="5" builtinId="3"/>
    <cellStyle name="Hyperlink" xfId="4" builtinId="8"/>
    <cellStyle name="Input" xfId="2" builtinId="20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pw:\\pwhdruscen01:HDR_US_Central_01\Documents\City_of_Raymore_Missouri\Raymore_20-002_Build_Grant\4.0_Data_Ref_Info\4.2_WIP\MoDOT%20Data\CrashSummary_SB49_14to18.xlsx" TargetMode="External"/><Relationship Id="rId1" Type="http://schemas.openxmlformats.org/officeDocument/2006/relationships/hyperlink" Target="pw:\\pwhdruscen01:HDR_US_Central_01\Documents\City_of_Raymore_Missouri\Raymore_20-002_Build_Grant\4.0_Data_Ref_Info\4.2_WIP\MoDOT%20Data\CrashSummary_NB49_14to18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2"/>
  <sheetViews>
    <sheetView tabSelected="1" topLeftCell="D25" zoomScale="55" zoomScaleNormal="55" workbookViewId="0">
      <selection activeCell="W35" sqref="W35"/>
    </sheetView>
  </sheetViews>
  <sheetFormatPr defaultRowHeight="15.75" x14ac:dyDescent="0.25"/>
  <cols>
    <col min="1" max="1" width="18.85546875" style="57" bestFit="1" customWidth="1"/>
    <col min="2" max="2" width="17.28515625" style="57" bestFit="1" customWidth="1"/>
    <col min="3" max="3" width="33.85546875" style="57" bestFit="1" customWidth="1"/>
    <col min="4" max="4" width="13.5703125" style="1" bestFit="1" customWidth="1"/>
    <col min="5" max="5" width="33.7109375" style="1" customWidth="1"/>
    <col min="6" max="6" width="11.85546875" style="1" customWidth="1"/>
    <col min="7" max="7" width="14" style="1" customWidth="1"/>
    <col min="8" max="8" width="12.140625" style="1" bestFit="1" customWidth="1"/>
    <col min="9" max="9" width="21.7109375" style="1" customWidth="1"/>
    <col min="10" max="10" width="25.5703125" style="1" customWidth="1"/>
    <col min="11" max="11" width="35.140625" style="1" customWidth="1"/>
    <col min="12" max="12" width="26.5703125" style="1" bestFit="1" customWidth="1"/>
    <col min="13" max="13" width="42.7109375" style="1" bestFit="1" customWidth="1"/>
    <col min="14" max="14" width="26" style="1" customWidth="1"/>
    <col min="15" max="15" width="30.42578125" style="1" customWidth="1"/>
    <col min="16" max="16" width="32.5703125" style="1" customWidth="1"/>
    <col min="17" max="17" width="18" style="1" customWidth="1"/>
    <col min="18" max="18" width="18.28515625" style="1" customWidth="1"/>
    <col min="19" max="19" width="15.7109375" style="1" customWidth="1"/>
    <col min="20" max="20" width="20.7109375" style="1" bestFit="1" customWidth="1"/>
    <col min="21" max="21" width="9.140625" style="1"/>
    <col min="22" max="22" width="5.28515625" style="1" customWidth="1"/>
    <col min="23" max="23" width="34.7109375" style="1" customWidth="1"/>
    <col min="24" max="24" width="9.140625" style="1"/>
    <col min="25" max="25" width="9.140625" style="1" hidden="1" customWidth="1"/>
    <col min="26" max="26" width="36.7109375" style="1" customWidth="1"/>
    <col min="27" max="29" width="9.140625" style="1" hidden="1" customWidth="1"/>
    <col min="30" max="30" width="6.42578125" style="1" customWidth="1"/>
    <col min="31" max="31" width="6.7109375" style="1" customWidth="1"/>
    <col min="32" max="32" width="9.140625" style="1" hidden="1" customWidth="1"/>
    <col min="33" max="33" width="6.7109375" style="1" customWidth="1"/>
    <col min="34" max="34" width="1.140625" style="1" customWidth="1"/>
    <col min="35" max="36" width="9.140625" style="1" hidden="1" customWidth="1"/>
    <col min="37" max="37" width="8" style="1" customWidth="1"/>
    <col min="38" max="40" width="9.140625" style="1" hidden="1" customWidth="1"/>
    <col min="41" max="41" width="8.28515625" style="1" customWidth="1"/>
    <col min="42" max="43" width="9.140625" style="1" hidden="1" customWidth="1"/>
    <col min="44" max="44" width="2.5703125" style="1" customWidth="1"/>
    <col min="45" max="45" width="2" style="1" hidden="1" customWidth="1"/>
    <col min="46" max="46" width="0.5703125" style="1" hidden="1" customWidth="1"/>
    <col min="47" max="47" width="7" style="1" hidden="1" customWidth="1"/>
    <col min="48" max="48" width="5.42578125" style="1" customWidth="1"/>
    <col min="49" max="49" width="9.140625" style="1"/>
    <col min="50" max="50" width="24.85546875" style="1" bestFit="1" customWidth="1"/>
    <col min="51" max="52" width="19.5703125" style="1" customWidth="1"/>
    <col min="53" max="53" width="6.85546875" style="1" bestFit="1" customWidth="1"/>
    <col min="54" max="54" width="27.42578125" style="1" customWidth="1"/>
    <col min="55" max="55" width="29.28515625" style="1" customWidth="1"/>
    <col min="56" max="16384" width="9.140625" style="1"/>
  </cols>
  <sheetData>
    <row r="1" spans="1:55" x14ac:dyDescent="0.25">
      <c r="W1" s="2" t="s">
        <v>0</v>
      </c>
    </row>
    <row r="2" spans="1:55" x14ac:dyDescent="0.25">
      <c r="A2" s="121" t="s">
        <v>238</v>
      </c>
      <c r="B2" s="122"/>
      <c r="C2" s="123"/>
      <c r="E2" s="121" t="s">
        <v>245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3"/>
    </row>
    <row r="3" spans="1:55" x14ac:dyDescent="0.25">
      <c r="A3" s="56" t="s">
        <v>215</v>
      </c>
      <c r="B3" s="56" t="s">
        <v>216</v>
      </c>
      <c r="C3" s="56" t="s">
        <v>239</v>
      </c>
      <c r="E3" s="55" t="s">
        <v>4</v>
      </c>
      <c r="F3" s="55"/>
      <c r="G3" s="55"/>
      <c r="H3" s="55"/>
      <c r="I3" s="55"/>
      <c r="J3" s="55"/>
      <c r="K3" s="72"/>
      <c r="L3" s="72"/>
      <c r="M3" s="55"/>
      <c r="N3" s="72"/>
      <c r="O3" s="72"/>
      <c r="P3" s="72"/>
      <c r="Q3" s="72"/>
      <c r="R3" s="72"/>
      <c r="S3" s="72"/>
      <c r="T3" s="72" t="s">
        <v>5</v>
      </c>
      <c r="W3" s="3" t="s">
        <v>1</v>
      </c>
    </row>
    <row r="4" spans="1:55" ht="18" x14ac:dyDescent="0.25">
      <c r="A4" s="56" t="s">
        <v>6</v>
      </c>
      <c r="B4" s="56" t="s">
        <v>6</v>
      </c>
      <c r="C4" s="55"/>
      <c r="E4" s="55" t="s">
        <v>6</v>
      </c>
      <c r="F4" s="55">
        <v>2010</v>
      </c>
      <c r="G4" s="55" t="s">
        <v>34</v>
      </c>
      <c r="H4" s="55">
        <v>2014</v>
      </c>
      <c r="I4" s="55" t="s">
        <v>34</v>
      </c>
      <c r="J4" s="55">
        <v>2017</v>
      </c>
      <c r="K4" s="55" t="s">
        <v>36</v>
      </c>
      <c r="L4" s="55" t="s">
        <v>37</v>
      </c>
      <c r="M4" s="55" t="s">
        <v>37</v>
      </c>
      <c r="N4" s="55" t="s">
        <v>36</v>
      </c>
      <c r="O4" s="55">
        <v>2017</v>
      </c>
      <c r="P4" s="55" t="s">
        <v>34</v>
      </c>
      <c r="Q4" s="55">
        <v>2014</v>
      </c>
      <c r="R4" s="55" t="s">
        <v>34</v>
      </c>
      <c r="S4" s="55">
        <v>2010</v>
      </c>
      <c r="T4" s="55" t="s">
        <v>6</v>
      </c>
      <c r="W4" s="61" t="s">
        <v>2</v>
      </c>
      <c r="Z4" s="130" t="s">
        <v>259</v>
      </c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X4" s="128" t="s">
        <v>225</v>
      </c>
      <c r="AY4" s="128"/>
      <c r="AZ4" s="128"/>
      <c r="BB4" s="128" t="s">
        <v>240</v>
      </c>
      <c r="BC4" s="128"/>
    </row>
    <row r="5" spans="1:55" x14ac:dyDescent="0.25">
      <c r="A5" s="65"/>
      <c r="B5" s="65"/>
      <c r="C5" s="65" t="s">
        <v>8</v>
      </c>
      <c r="E5" s="65"/>
      <c r="F5" s="7">
        <f>F7+F6</f>
        <v>3704</v>
      </c>
      <c r="G5" s="8">
        <f t="shared" ref="G5:G16" si="0">((H5/F5)^(1/($H$4-$F$4)))-1</f>
        <v>4.0889528160947819E-2</v>
      </c>
      <c r="H5" s="7">
        <f>H7+H6</f>
        <v>4348</v>
      </c>
      <c r="I5" s="8">
        <f t="shared" ref="I5:I16" si="1">((J5/H5)^(1/($J$4-$H$4)))-1</f>
        <v>-1.803250843710158E-2</v>
      </c>
      <c r="J5" s="7">
        <f>J7+J6</f>
        <v>4117</v>
      </c>
      <c r="K5" s="9">
        <f>AVERAGE(G5,I5)</f>
        <v>1.142850986192312E-2</v>
      </c>
      <c r="L5" s="9">
        <f>IF(K5&gt;0,K5,0.005)</f>
        <v>1.142850986192312E-2</v>
      </c>
      <c r="M5" s="9">
        <f>IF(N5&gt;0,N5,0.005)</f>
        <v>1.8907189878914377E-2</v>
      </c>
      <c r="N5" s="9">
        <f>AVERAGE(P5,R5)</f>
        <v>1.8907189878914377E-2</v>
      </c>
      <c r="O5" s="7">
        <f>O7+O6</f>
        <v>4195</v>
      </c>
      <c r="P5" s="8">
        <f t="shared" ref="P5:P16" si="2">((O5/Q5)^(1/($O$4-$Q$4)))-1</f>
        <v>1.6246990058382815E-2</v>
      </c>
      <c r="Q5" s="7">
        <f>Q7+Q6</f>
        <v>3997</v>
      </c>
      <c r="R5" s="8">
        <f t="shared" ref="R5:R16" si="3">((Q5/S5)^(1/($Q$4-$S$4)))-1</f>
        <v>2.1567389699445938E-2</v>
      </c>
      <c r="S5" s="7">
        <f>S7+S6</f>
        <v>3670</v>
      </c>
      <c r="T5" s="65"/>
      <c r="W5" s="1" t="s">
        <v>3</v>
      </c>
      <c r="Z5" s="138" t="s">
        <v>209</v>
      </c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X5" s="121" t="s">
        <v>218</v>
      </c>
      <c r="AY5" s="123"/>
      <c r="AZ5" s="56" t="s">
        <v>219</v>
      </c>
      <c r="BA5" s="57"/>
      <c r="BB5" s="56" t="s">
        <v>221</v>
      </c>
      <c r="BC5" s="56" t="s">
        <v>220</v>
      </c>
    </row>
    <row r="6" spans="1:55" x14ac:dyDescent="0.25">
      <c r="A6" s="55" t="s">
        <v>9</v>
      </c>
      <c r="B6" s="55" t="s">
        <v>10</v>
      </c>
      <c r="C6" s="55" t="s">
        <v>11</v>
      </c>
      <c r="E6" s="55" t="s">
        <v>9</v>
      </c>
      <c r="F6" s="10">
        <v>841</v>
      </c>
      <c r="G6" s="11">
        <f t="shared" si="0"/>
        <v>3.201995474828645E-2</v>
      </c>
      <c r="H6" s="10">
        <v>954</v>
      </c>
      <c r="I6" s="11">
        <f t="shared" si="1"/>
        <v>5.2726599609396629E-2</v>
      </c>
      <c r="J6" s="10">
        <v>1113</v>
      </c>
      <c r="K6" s="12">
        <f t="shared" ref="K6:K16" si="4">AVERAGE(G6,I6)</f>
        <v>4.237327717884154E-2</v>
      </c>
      <c r="L6" s="9">
        <f t="shared" ref="L6:L16" si="5">IF(K6&gt;0,K6,0.005)</f>
        <v>4.237327717884154E-2</v>
      </c>
      <c r="M6" s="9">
        <f t="shared" ref="M6:M16" si="6">IF(N6&gt;0,N6,0.005)</f>
        <v>9.1877358733941095E-2</v>
      </c>
      <c r="N6" s="12">
        <f t="shared" ref="N6:N16" si="7">AVERAGE(P6,R6)</f>
        <v>9.1877358733941095E-2</v>
      </c>
      <c r="O6" s="59">
        <v>1002</v>
      </c>
      <c r="P6" s="60">
        <f t="shared" si="2"/>
        <v>3.8360667006827942E-2</v>
      </c>
      <c r="Q6" s="59">
        <v>895</v>
      </c>
      <c r="R6" s="60">
        <f t="shared" si="3"/>
        <v>0.14539405046105425</v>
      </c>
      <c r="S6" s="59">
        <v>520</v>
      </c>
      <c r="T6" s="55" t="s">
        <v>10</v>
      </c>
      <c r="W6" s="5" t="s">
        <v>35</v>
      </c>
      <c r="Z6" s="139" t="s">
        <v>210</v>
      </c>
      <c r="AA6" s="139"/>
      <c r="AB6" s="139"/>
      <c r="AC6" s="139"/>
      <c r="AD6" s="139"/>
      <c r="AE6" s="139">
        <v>2014</v>
      </c>
      <c r="AF6" s="139"/>
      <c r="AG6" s="139">
        <v>2015</v>
      </c>
      <c r="AH6" s="139"/>
      <c r="AI6" s="139"/>
      <c r="AJ6" s="139"/>
      <c r="AK6" s="139">
        <v>2016</v>
      </c>
      <c r="AL6" s="139"/>
      <c r="AM6" s="139"/>
      <c r="AN6" s="139"/>
      <c r="AO6" s="139">
        <v>2017</v>
      </c>
      <c r="AP6" s="139"/>
      <c r="AQ6" s="139"/>
      <c r="AR6" s="139">
        <v>2018</v>
      </c>
      <c r="AS6" s="139"/>
      <c r="AT6" s="139"/>
      <c r="AU6" s="139"/>
      <c r="AV6" s="139"/>
      <c r="AX6" s="55">
        <v>0</v>
      </c>
      <c r="AY6" s="55">
        <v>50</v>
      </c>
      <c r="AZ6" s="55">
        <v>0.78</v>
      </c>
      <c r="BA6" s="57"/>
      <c r="BB6" s="55">
        <f>BC9</f>
        <v>0.97499999999999998</v>
      </c>
      <c r="BC6" s="55">
        <v>1.05</v>
      </c>
    </row>
    <row r="7" spans="1:55" x14ac:dyDescent="0.25">
      <c r="A7" s="65"/>
      <c r="B7" s="65"/>
      <c r="C7" s="65" t="s">
        <v>12</v>
      </c>
      <c r="E7" s="65"/>
      <c r="F7" s="7">
        <f>F9-F8</f>
        <v>2863</v>
      </c>
      <c r="G7" s="8">
        <f t="shared" si="0"/>
        <v>4.3452352414046658E-2</v>
      </c>
      <c r="H7" s="7">
        <f>H9-H8</f>
        <v>3394</v>
      </c>
      <c r="I7" s="8">
        <f t="shared" si="1"/>
        <v>-3.9871495191795558E-2</v>
      </c>
      <c r="J7" s="7">
        <f>J9-J8</f>
        <v>3004</v>
      </c>
      <c r="K7" s="9">
        <f t="shared" si="4"/>
        <v>1.7904286111255496E-3</v>
      </c>
      <c r="L7" s="9">
        <f t="shared" si="5"/>
        <v>1.7904286111255496E-3</v>
      </c>
      <c r="M7" s="9">
        <f t="shared" si="6"/>
        <v>2.9265281004466903E-3</v>
      </c>
      <c r="N7" s="9">
        <f t="shared" si="7"/>
        <v>2.9265281004466903E-3</v>
      </c>
      <c r="O7" s="7">
        <f>O9-O8</f>
        <v>3193</v>
      </c>
      <c r="P7" s="8">
        <f t="shared" si="2"/>
        <v>9.6845442681114946E-3</v>
      </c>
      <c r="Q7" s="7">
        <f>Q9-Q8</f>
        <v>3102</v>
      </c>
      <c r="R7" s="8">
        <f t="shared" si="3"/>
        <v>-3.831488067218114E-3</v>
      </c>
      <c r="S7" s="7">
        <f>S9-S8</f>
        <v>3150</v>
      </c>
      <c r="T7" s="65"/>
      <c r="Z7" s="140" t="s">
        <v>211</v>
      </c>
      <c r="AA7" s="140"/>
      <c r="AB7" s="140"/>
      <c r="AC7" s="140"/>
      <c r="AD7" s="140"/>
      <c r="AE7" s="141">
        <v>24330</v>
      </c>
      <c r="AF7" s="141"/>
      <c r="AG7" s="141">
        <v>25100</v>
      </c>
      <c r="AH7" s="141"/>
      <c r="AI7" s="141"/>
      <c r="AJ7" s="141"/>
      <c r="AK7" s="141">
        <v>25777</v>
      </c>
      <c r="AL7" s="141"/>
      <c r="AM7" s="141"/>
      <c r="AN7" s="141"/>
      <c r="AO7" s="141">
        <v>26962</v>
      </c>
      <c r="AP7" s="141"/>
      <c r="AQ7" s="141"/>
      <c r="AR7" s="149">
        <v>26989</v>
      </c>
      <c r="AS7" s="149"/>
      <c r="AT7" s="149"/>
      <c r="AU7" s="149"/>
      <c r="AV7" s="149"/>
      <c r="AX7" s="55">
        <v>51</v>
      </c>
      <c r="AY7" s="55">
        <v>100</v>
      </c>
      <c r="AZ7" s="55">
        <v>0.83</v>
      </c>
      <c r="BA7" s="57"/>
      <c r="BB7" s="55">
        <f>BC8</f>
        <v>0.97499999999999998</v>
      </c>
      <c r="BC7" s="55">
        <v>1</v>
      </c>
    </row>
    <row r="8" spans="1:55" x14ac:dyDescent="0.25">
      <c r="A8" s="55" t="s">
        <v>13</v>
      </c>
      <c r="B8" s="55" t="s">
        <v>14</v>
      </c>
      <c r="C8" s="55" t="s">
        <v>15</v>
      </c>
      <c r="E8" s="55" t="s">
        <v>13</v>
      </c>
      <c r="F8" s="59">
        <v>140</v>
      </c>
      <c r="G8" s="60">
        <f t="shared" si="0"/>
        <v>1.7809509549475688E-3</v>
      </c>
      <c r="H8" s="59">
        <v>141</v>
      </c>
      <c r="I8" s="60">
        <f t="shared" si="1"/>
        <v>0.22626616410282452</v>
      </c>
      <c r="J8" s="59">
        <v>260</v>
      </c>
      <c r="K8" s="12">
        <f>AVERAGE(G8,I8)</f>
        <v>0.11402355752888604</v>
      </c>
      <c r="L8" s="9">
        <f t="shared" si="5"/>
        <v>0.11402355752888604</v>
      </c>
      <c r="M8" s="9">
        <f t="shared" si="6"/>
        <v>7.692117911065377E-2</v>
      </c>
      <c r="N8" s="12">
        <f t="shared" si="7"/>
        <v>7.692117911065377E-2</v>
      </c>
      <c r="O8" s="10">
        <v>174</v>
      </c>
      <c r="P8" s="11">
        <f t="shared" si="2"/>
        <v>0.1318511959629507</v>
      </c>
      <c r="Q8" s="10">
        <v>120</v>
      </c>
      <c r="R8" s="11">
        <f t="shared" si="3"/>
        <v>2.1991162258356844E-2</v>
      </c>
      <c r="S8" s="10">
        <v>110</v>
      </c>
      <c r="T8" s="55" t="s">
        <v>14</v>
      </c>
      <c r="Z8" s="165" t="s">
        <v>212</v>
      </c>
      <c r="AA8" s="165"/>
      <c r="AB8" s="165"/>
      <c r="AC8" s="165"/>
      <c r="AD8" s="165"/>
      <c r="AE8" s="166">
        <f>ROUND(((AR7/AE7)^(1/($AR$6-$AE$6)))-1,3)</f>
        <v>2.5999999999999999E-2</v>
      </c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X8" s="55">
        <v>101</v>
      </c>
      <c r="AY8" s="55">
        <v>200</v>
      </c>
      <c r="AZ8" s="55">
        <v>0.87</v>
      </c>
      <c r="BA8" s="57"/>
      <c r="BB8" s="55">
        <f>BC7</f>
        <v>1</v>
      </c>
      <c r="BC8" s="55">
        <v>0.97499999999999998</v>
      </c>
    </row>
    <row r="9" spans="1:55" x14ac:dyDescent="0.25">
      <c r="A9" s="65"/>
      <c r="B9" s="65"/>
      <c r="C9" s="65" t="s">
        <v>16</v>
      </c>
      <c r="E9" s="65"/>
      <c r="F9" s="7">
        <f>F11+F10</f>
        <v>3003</v>
      </c>
      <c r="G9" s="8">
        <f t="shared" si="0"/>
        <v>4.1618108492846861E-2</v>
      </c>
      <c r="H9" s="7">
        <f>H11+H10</f>
        <v>3535</v>
      </c>
      <c r="I9" s="8">
        <f t="shared" si="1"/>
        <v>-2.6236307957968386E-2</v>
      </c>
      <c r="J9" s="7">
        <f>J11+J10</f>
        <v>3264</v>
      </c>
      <c r="K9" s="9">
        <f t="shared" si="4"/>
        <v>7.6909002674392379E-3</v>
      </c>
      <c r="L9" s="9">
        <f t="shared" si="5"/>
        <v>7.6909002674392379E-3</v>
      </c>
      <c r="M9" s="9">
        <f t="shared" si="6"/>
        <v>5.9272652318375085E-3</v>
      </c>
      <c r="N9" s="9">
        <f t="shared" si="7"/>
        <v>5.9272652318375085E-3</v>
      </c>
      <c r="O9" s="7">
        <f>O11+O10</f>
        <v>3367</v>
      </c>
      <c r="P9" s="8">
        <f t="shared" si="2"/>
        <v>1.4781466266338361E-2</v>
      </c>
      <c r="Q9" s="7">
        <f>Q11+Q10</f>
        <v>3222</v>
      </c>
      <c r="R9" s="8">
        <f t="shared" si="3"/>
        <v>-2.9269358026633441E-3</v>
      </c>
      <c r="S9" s="7">
        <f>S11+S10</f>
        <v>3260</v>
      </c>
      <c r="T9" s="65"/>
      <c r="Z9" s="150" t="s">
        <v>213</v>
      </c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2"/>
      <c r="AX9" s="55">
        <v>201</v>
      </c>
      <c r="AY9" s="55">
        <v>500</v>
      </c>
      <c r="AZ9" s="55">
        <v>0.92</v>
      </c>
      <c r="BA9" s="57"/>
      <c r="BB9" s="55">
        <f>BC6</f>
        <v>1.05</v>
      </c>
      <c r="BC9" s="55">
        <v>0.97499999999999998</v>
      </c>
    </row>
    <row r="10" spans="1:55" x14ac:dyDescent="0.25">
      <c r="A10" s="55" t="s">
        <v>17</v>
      </c>
      <c r="B10" s="55" t="s">
        <v>18</v>
      </c>
      <c r="C10" s="55" t="s">
        <v>19</v>
      </c>
      <c r="E10" s="55" t="s">
        <v>17</v>
      </c>
      <c r="F10" s="10">
        <v>1514</v>
      </c>
      <c r="G10" s="11">
        <f t="shared" si="0"/>
        <v>2.4973515427774817E-2</v>
      </c>
      <c r="H10" s="10">
        <v>1671</v>
      </c>
      <c r="I10" s="11">
        <f t="shared" si="1"/>
        <v>-6.2922703139569824E-2</v>
      </c>
      <c r="J10" s="10">
        <v>1375</v>
      </c>
      <c r="K10" s="12">
        <f t="shared" si="4"/>
        <v>-1.8974593855897504E-2</v>
      </c>
      <c r="L10" s="9">
        <f t="shared" si="5"/>
        <v>5.0000000000000001E-3</v>
      </c>
      <c r="M10" s="9">
        <f t="shared" si="6"/>
        <v>5.0000000000000001E-3</v>
      </c>
      <c r="N10" s="12">
        <f t="shared" si="7"/>
        <v>-1.7948792029364169E-2</v>
      </c>
      <c r="O10" s="59">
        <v>1327</v>
      </c>
      <c r="P10" s="60">
        <f t="shared" si="2"/>
        <v>-8.1545512499395789E-3</v>
      </c>
      <c r="Q10" s="59">
        <v>1360</v>
      </c>
      <c r="R10" s="60">
        <f t="shared" si="3"/>
        <v>-2.7743032808788759E-2</v>
      </c>
      <c r="S10" s="59">
        <v>1522</v>
      </c>
      <c r="T10" s="55" t="s">
        <v>18</v>
      </c>
      <c r="W10" s="1" t="s">
        <v>7</v>
      </c>
      <c r="Z10" s="153" t="s">
        <v>214</v>
      </c>
      <c r="AA10" s="154"/>
      <c r="AB10" s="154"/>
      <c r="AC10" s="154"/>
      <c r="AD10" s="155"/>
      <c r="AE10" s="46">
        <v>2014</v>
      </c>
      <c r="AF10" s="46"/>
      <c r="AG10" s="139">
        <v>2015</v>
      </c>
      <c r="AH10" s="139"/>
      <c r="AI10" s="46"/>
      <c r="AJ10" s="46"/>
      <c r="AK10" s="46">
        <v>2016</v>
      </c>
      <c r="AL10" s="46"/>
      <c r="AM10" s="46"/>
      <c r="AN10" s="46"/>
      <c r="AO10" s="46">
        <v>2017</v>
      </c>
      <c r="AP10" s="46"/>
      <c r="AQ10" s="46"/>
      <c r="AR10" s="159">
        <v>2018</v>
      </c>
      <c r="AS10" s="160"/>
      <c r="AT10" s="160"/>
      <c r="AU10" s="160"/>
      <c r="AV10" s="161"/>
      <c r="AX10" s="55">
        <v>501</v>
      </c>
      <c r="AY10" s="55">
        <v>1000</v>
      </c>
      <c r="AZ10" s="55">
        <v>0.93</v>
      </c>
      <c r="BA10" s="57"/>
      <c r="BB10" s="57"/>
      <c r="BC10" s="57"/>
    </row>
    <row r="11" spans="1:55" x14ac:dyDescent="0.25">
      <c r="A11" s="65"/>
      <c r="B11" s="65"/>
      <c r="C11" s="65" t="s">
        <v>20</v>
      </c>
      <c r="E11" s="65"/>
      <c r="F11" s="7">
        <f>F13-F12</f>
        <v>1489</v>
      </c>
      <c r="G11" s="8">
        <f t="shared" si="0"/>
        <v>5.7761614182394228E-2</v>
      </c>
      <c r="H11" s="7">
        <f>H13-H12</f>
        <v>1864</v>
      </c>
      <c r="I11" s="8">
        <f t="shared" si="1"/>
        <v>4.4508330837791377E-3</v>
      </c>
      <c r="J11" s="7">
        <f>J13-J12</f>
        <v>1889</v>
      </c>
      <c r="K11" s="9">
        <f>AVERAGE(G11,I11)</f>
        <v>3.1106223633086683E-2</v>
      </c>
      <c r="L11" s="9">
        <f t="shared" si="5"/>
        <v>3.1106223633086683E-2</v>
      </c>
      <c r="M11" s="9">
        <f t="shared" si="6"/>
        <v>2.4139501915985018E-2</v>
      </c>
      <c r="N11" s="9">
        <f t="shared" si="7"/>
        <v>2.4139501915985018E-2</v>
      </c>
      <c r="O11" s="7">
        <f>O13-O12</f>
        <v>2040</v>
      </c>
      <c r="P11" s="8">
        <f t="shared" si="2"/>
        <v>3.0900689892477295E-2</v>
      </c>
      <c r="Q11" s="7">
        <f>Q13-Q12</f>
        <v>1862</v>
      </c>
      <c r="R11" s="8">
        <f t="shared" si="3"/>
        <v>1.737831393949274E-2</v>
      </c>
      <c r="S11" s="7">
        <f>S13-S12</f>
        <v>1738</v>
      </c>
      <c r="T11" s="65"/>
      <c r="U11" s="4"/>
      <c r="V11" s="4"/>
      <c r="W11" s="4" t="s">
        <v>8</v>
      </c>
      <c r="Z11" s="156" t="s">
        <v>211</v>
      </c>
      <c r="AA11" s="157"/>
      <c r="AB11" s="157"/>
      <c r="AC11" s="157"/>
      <c r="AD11" s="158"/>
      <c r="AE11" s="47">
        <v>26341</v>
      </c>
      <c r="AF11" s="47"/>
      <c r="AG11" s="149">
        <v>27230</v>
      </c>
      <c r="AH11" s="149"/>
      <c r="AI11" s="47"/>
      <c r="AJ11" s="47"/>
      <c r="AK11" s="47">
        <v>27965</v>
      </c>
      <c r="AL11" s="47"/>
      <c r="AM11" s="47"/>
      <c r="AN11" s="47"/>
      <c r="AO11" s="47">
        <v>28188</v>
      </c>
      <c r="AP11" s="47"/>
      <c r="AQ11" s="47"/>
      <c r="AR11" s="162">
        <v>28216</v>
      </c>
      <c r="AS11" s="163"/>
      <c r="AT11" s="163"/>
      <c r="AU11" s="163"/>
      <c r="AV11" s="164"/>
      <c r="AX11" s="55">
        <v>1001</v>
      </c>
      <c r="AY11" s="55">
        <v>2000</v>
      </c>
      <c r="AZ11" s="55">
        <v>0.95</v>
      </c>
      <c r="BA11" s="57"/>
      <c r="BB11" s="57"/>
      <c r="BC11" s="57"/>
    </row>
    <row r="12" spans="1:55" x14ac:dyDescent="0.25">
      <c r="A12" s="55" t="s">
        <v>21</v>
      </c>
      <c r="B12" s="55" t="s">
        <v>22</v>
      </c>
      <c r="C12" s="55" t="s">
        <v>23</v>
      </c>
      <c r="E12" s="55" t="s">
        <v>21</v>
      </c>
      <c r="F12" s="59">
        <v>315</v>
      </c>
      <c r="G12" s="60">
        <f t="shared" si="0"/>
        <v>2.3003537112441963E-2</v>
      </c>
      <c r="H12" s="59">
        <v>345</v>
      </c>
      <c r="I12" s="60">
        <f t="shared" si="1"/>
        <v>7.2828168622655509E-2</v>
      </c>
      <c r="J12" s="59">
        <v>426</v>
      </c>
      <c r="K12" s="12">
        <f t="shared" si="4"/>
        <v>4.7915852867548736E-2</v>
      </c>
      <c r="L12" s="9">
        <f t="shared" si="5"/>
        <v>4.7915852867548736E-2</v>
      </c>
      <c r="M12" s="9">
        <f t="shared" si="6"/>
        <v>1.1913150290299823E-2</v>
      </c>
      <c r="N12" s="12">
        <f t="shared" si="7"/>
        <v>1.1913150290299823E-2</v>
      </c>
      <c r="O12" s="10">
        <v>280</v>
      </c>
      <c r="P12" s="11">
        <f t="shared" si="2"/>
        <v>4.4097304936050907E-2</v>
      </c>
      <c r="Q12" s="10">
        <v>246</v>
      </c>
      <c r="R12" s="11">
        <f t="shared" si="3"/>
        <v>-2.0271004355451261E-2</v>
      </c>
      <c r="S12" s="10">
        <v>267</v>
      </c>
      <c r="T12" s="55" t="s">
        <v>22</v>
      </c>
      <c r="W12" s="1" t="s">
        <v>11</v>
      </c>
      <c r="Z12" s="142" t="s">
        <v>212</v>
      </c>
      <c r="AA12" s="143"/>
      <c r="AB12" s="143"/>
      <c r="AC12" s="143"/>
      <c r="AD12" s="144"/>
      <c r="AE12" s="145">
        <f>ROUND(((AR11/AE11)^(1/($AR$10-$AE$10)))-1,3)</f>
        <v>1.7000000000000001E-2</v>
      </c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7"/>
      <c r="AX12" s="135" t="s">
        <v>224</v>
      </c>
      <c r="AY12" s="135"/>
      <c r="AZ12" s="135"/>
      <c r="BA12" s="57"/>
      <c r="BB12" s="57"/>
    </row>
    <row r="13" spans="1:55" s="4" customFormat="1" x14ac:dyDescent="0.25">
      <c r="A13" s="55" t="s">
        <v>24</v>
      </c>
      <c r="B13" s="55" t="s">
        <v>25</v>
      </c>
      <c r="C13" s="55" t="s">
        <v>26</v>
      </c>
      <c r="E13" s="55" t="s">
        <v>24</v>
      </c>
      <c r="F13" s="13">
        <v>1804</v>
      </c>
      <c r="G13" s="8">
        <f t="shared" si="0"/>
        <v>5.19371568529301E-2</v>
      </c>
      <c r="H13" s="13">
        <v>2209</v>
      </c>
      <c r="I13" s="8">
        <f t="shared" si="1"/>
        <v>1.5745935465248495E-2</v>
      </c>
      <c r="J13" s="13">
        <v>2315</v>
      </c>
      <c r="K13" s="9">
        <f>AVERAGE(G13,I13)</f>
        <v>3.3841546159089297E-2</v>
      </c>
      <c r="L13" s="9">
        <f t="shared" si="5"/>
        <v>3.3841546159089297E-2</v>
      </c>
      <c r="M13" s="9">
        <f t="shared" si="6"/>
        <v>2.2530400511851734E-2</v>
      </c>
      <c r="N13" s="9">
        <f t="shared" si="7"/>
        <v>2.2530400511851734E-2</v>
      </c>
      <c r="O13" s="13">
        <v>2320</v>
      </c>
      <c r="P13" s="8">
        <f t="shared" si="2"/>
        <v>3.2458156183501785E-2</v>
      </c>
      <c r="Q13" s="13">
        <v>2108</v>
      </c>
      <c r="R13" s="8">
        <f t="shared" si="3"/>
        <v>1.2602644840201682E-2</v>
      </c>
      <c r="S13" s="13">
        <v>2005</v>
      </c>
      <c r="T13" s="55" t="s">
        <v>25</v>
      </c>
      <c r="W13" s="4" t="s">
        <v>12</v>
      </c>
      <c r="Z13" s="128" t="s">
        <v>243</v>
      </c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</row>
    <row r="14" spans="1:55" x14ac:dyDescent="0.25">
      <c r="A14" s="55" t="s">
        <v>27</v>
      </c>
      <c r="B14" s="55" t="s">
        <v>28</v>
      </c>
      <c r="C14" s="55" t="s">
        <v>29</v>
      </c>
      <c r="E14" s="55" t="s">
        <v>27</v>
      </c>
      <c r="F14" s="10">
        <v>267</v>
      </c>
      <c r="G14" s="11">
        <f t="shared" si="0"/>
        <v>4.0538776186368253E-2</v>
      </c>
      <c r="H14" s="10">
        <v>313</v>
      </c>
      <c r="I14" s="11">
        <f t="shared" si="1"/>
        <v>-7.5903046336140423E-2</v>
      </c>
      <c r="J14" s="10">
        <v>247</v>
      </c>
      <c r="K14" s="12">
        <f t="shared" si="4"/>
        <v>-1.7682135074886085E-2</v>
      </c>
      <c r="L14" s="9">
        <f t="shared" si="5"/>
        <v>5.0000000000000001E-3</v>
      </c>
      <c r="M14" s="9">
        <f t="shared" si="6"/>
        <v>4.8096902990935053E-3</v>
      </c>
      <c r="N14" s="12">
        <f t="shared" si="7"/>
        <v>4.8096902990935053E-3</v>
      </c>
      <c r="O14" s="59">
        <v>297</v>
      </c>
      <c r="P14" s="60">
        <f t="shared" si="2"/>
        <v>-6.124124516860352E-2</v>
      </c>
      <c r="Q14" s="59">
        <v>359</v>
      </c>
      <c r="R14" s="60">
        <f t="shared" si="3"/>
        <v>7.086062576679053E-2</v>
      </c>
      <c r="S14" s="59">
        <v>273</v>
      </c>
      <c r="T14" s="55" t="s">
        <v>28</v>
      </c>
      <c r="W14" s="1" t="s">
        <v>15</v>
      </c>
      <c r="Z14" s="148">
        <f>(AE8+AE12)/2</f>
        <v>2.1499999999999998E-2</v>
      </c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</row>
    <row r="15" spans="1:55" s="4" customFormat="1" x14ac:dyDescent="0.25">
      <c r="A15" s="65"/>
      <c r="B15" s="65"/>
      <c r="C15" s="65" t="s">
        <v>30</v>
      </c>
      <c r="E15" s="65"/>
      <c r="F15" s="7">
        <f>F13-F14</f>
        <v>1537</v>
      </c>
      <c r="G15" s="8">
        <f t="shared" si="0"/>
        <v>5.3879887418181172E-2</v>
      </c>
      <c r="H15" s="7">
        <f>H13-H14</f>
        <v>1896</v>
      </c>
      <c r="I15" s="8">
        <f t="shared" si="1"/>
        <v>2.9368167362215924E-2</v>
      </c>
      <c r="J15" s="7">
        <f>J13-J14</f>
        <v>2068</v>
      </c>
      <c r="K15" s="9">
        <f t="shared" si="4"/>
        <v>4.1624027390198548E-2</v>
      </c>
      <c r="L15" s="9">
        <f t="shared" si="5"/>
        <v>4.1624027390198548E-2</v>
      </c>
      <c r="M15" s="9">
        <f t="shared" si="6"/>
        <v>2.6076637534673597E-2</v>
      </c>
      <c r="N15" s="9">
        <f t="shared" si="7"/>
        <v>2.6076637534673597E-2</v>
      </c>
      <c r="O15" s="7">
        <f>O13-O14</f>
        <v>2023</v>
      </c>
      <c r="P15" s="8">
        <f t="shared" si="2"/>
        <v>4.9708444860076861E-2</v>
      </c>
      <c r="Q15" s="7">
        <f>Q13-Q14</f>
        <v>1749</v>
      </c>
      <c r="R15" s="8">
        <f t="shared" si="3"/>
        <v>2.4448302092703322E-3</v>
      </c>
      <c r="S15" s="7">
        <f>S13-S14</f>
        <v>1732</v>
      </c>
      <c r="T15" s="65"/>
      <c r="W15" s="4" t="s">
        <v>16</v>
      </c>
      <c r="Z15" s="125" t="s">
        <v>222</v>
      </c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7"/>
    </row>
    <row r="16" spans="1:55" x14ac:dyDescent="0.25">
      <c r="A16" s="55" t="s">
        <v>31</v>
      </c>
      <c r="B16" s="55" t="s">
        <v>32</v>
      </c>
      <c r="C16" s="55" t="s">
        <v>33</v>
      </c>
      <c r="E16" s="55" t="s">
        <v>31</v>
      </c>
      <c r="F16" s="59">
        <v>119</v>
      </c>
      <c r="G16" s="60">
        <f t="shared" si="0"/>
        <v>6.4844316803015944E-2</v>
      </c>
      <c r="H16" s="59">
        <v>153</v>
      </c>
      <c r="I16" s="60">
        <f t="shared" si="1"/>
        <v>9.8841034328630561E-2</v>
      </c>
      <c r="J16" s="59">
        <v>203</v>
      </c>
      <c r="K16" s="12">
        <f t="shared" si="4"/>
        <v>8.1842675565823253E-2</v>
      </c>
      <c r="L16" s="9">
        <f t="shared" si="5"/>
        <v>8.1842675565823253E-2</v>
      </c>
      <c r="M16" s="9">
        <f t="shared" si="6"/>
        <v>0.13008452962576134</v>
      </c>
      <c r="N16" s="12">
        <f t="shared" si="7"/>
        <v>0.13008452962576134</v>
      </c>
      <c r="O16" s="10">
        <v>138</v>
      </c>
      <c r="P16" s="11">
        <f t="shared" si="2"/>
        <v>0.20946924089664121</v>
      </c>
      <c r="Q16" s="10">
        <v>78</v>
      </c>
      <c r="R16" s="11">
        <f t="shared" si="3"/>
        <v>5.0699818354881465E-2</v>
      </c>
      <c r="S16" s="10">
        <v>64</v>
      </c>
      <c r="T16" s="55" t="s">
        <v>32</v>
      </c>
      <c r="W16" s="1" t="s">
        <v>19</v>
      </c>
      <c r="Z16" s="136" t="s">
        <v>223</v>
      </c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</row>
    <row r="17" spans="1:55" s="4" customFormat="1" x14ac:dyDescent="0.25">
      <c r="K17" s="137" t="s">
        <v>38</v>
      </c>
      <c r="L17" s="137"/>
      <c r="M17" s="137"/>
      <c r="N17" s="137"/>
      <c r="W17" s="4" t="s">
        <v>20</v>
      </c>
      <c r="AX17" s="124" t="s">
        <v>241</v>
      </c>
      <c r="AY17" s="124"/>
      <c r="AZ17" s="124"/>
      <c r="BA17" s="124"/>
      <c r="BB17" s="124"/>
      <c r="BC17" s="57"/>
    </row>
    <row r="18" spans="1:55" x14ac:dyDescent="0.25">
      <c r="W18" s="1" t="s">
        <v>23</v>
      </c>
      <c r="Z18" s="128" t="s">
        <v>258</v>
      </c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X18" s="57"/>
      <c r="AY18" s="57">
        <v>1131</v>
      </c>
      <c r="AZ18" s="57"/>
      <c r="BA18" s="57"/>
      <c r="BB18" s="57"/>
      <c r="BC18" s="4"/>
    </row>
    <row r="19" spans="1:55" s="4" customFormat="1" ht="18" x14ac:dyDescent="0.25">
      <c r="A19" s="128" t="s">
        <v>226</v>
      </c>
      <c r="B19" s="128"/>
      <c r="C19" s="128"/>
      <c r="D19" s="128"/>
      <c r="E19" s="55"/>
      <c r="F19" s="1"/>
      <c r="I19" s="130" t="s">
        <v>249</v>
      </c>
      <c r="J19" s="130"/>
      <c r="K19" s="130"/>
      <c r="M19" s="130" t="s">
        <v>237</v>
      </c>
      <c r="N19" s="130"/>
      <c r="O19" s="130"/>
      <c r="P19" s="130"/>
      <c r="U19" s="1"/>
      <c r="V19" s="1"/>
      <c r="W19" s="1" t="s">
        <v>26</v>
      </c>
      <c r="Z19" s="131">
        <v>1.09E-2</v>
      </c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3"/>
      <c r="AX19" s="57"/>
      <c r="AY19" s="57"/>
      <c r="AZ19" s="57"/>
      <c r="BC19" s="57"/>
    </row>
    <row r="20" spans="1:55" x14ac:dyDescent="0.25">
      <c r="A20" s="128" t="s">
        <v>227</v>
      </c>
      <c r="B20" s="128"/>
      <c r="C20" s="128" t="s">
        <v>209</v>
      </c>
      <c r="D20" s="128"/>
      <c r="E20" s="56"/>
      <c r="I20" s="56" t="s">
        <v>233</v>
      </c>
      <c r="J20" s="56" t="s">
        <v>234</v>
      </c>
      <c r="K20" s="56" t="s">
        <v>230</v>
      </c>
      <c r="M20" s="56" t="s">
        <v>233</v>
      </c>
      <c r="N20" s="56" t="s">
        <v>234</v>
      </c>
      <c r="O20" s="56" t="s">
        <v>236</v>
      </c>
      <c r="P20" s="56" t="s">
        <v>230</v>
      </c>
      <c r="W20" s="1" t="s">
        <v>29</v>
      </c>
      <c r="Z20" s="134" t="s">
        <v>244</v>
      </c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X20" s="57"/>
      <c r="AY20" s="57">
        <f>VLOOKUP(AY18,AX6:AZ11,3,TRUE)</f>
        <v>0.95</v>
      </c>
      <c r="AZ20" s="57"/>
      <c r="BA20" s="57"/>
      <c r="BB20" s="57"/>
      <c r="BC20" s="4"/>
    </row>
    <row r="21" spans="1:55" x14ac:dyDescent="0.25">
      <c r="A21" s="56" t="s">
        <v>6</v>
      </c>
      <c r="B21" s="55" t="s">
        <v>217</v>
      </c>
      <c r="C21" s="56" t="s">
        <v>6</v>
      </c>
      <c r="D21" s="55" t="s">
        <v>217</v>
      </c>
      <c r="E21" s="56" t="s">
        <v>7</v>
      </c>
      <c r="I21" s="63">
        <f>(2247+3245)/48191</f>
        <v>0.11396318814716441</v>
      </c>
      <c r="J21" s="63">
        <f>(1523+4491)/36974</f>
        <v>0.16265483853518689</v>
      </c>
      <c r="K21" s="67" t="s">
        <v>254</v>
      </c>
      <c r="M21" s="63">
        <f>(2247+3245)/48191</f>
        <v>0.11396318814716441</v>
      </c>
      <c r="N21" s="63">
        <f>(1523+4491)/36974</f>
        <v>0.16265483853518689</v>
      </c>
      <c r="O21" s="71">
        <v>5150</v>
      </c>
      <c r="P21" s="67" t="s">
        <v>254</v>
      </c>
      <c r="U21" s="4"/>
      <c r="V21" s="4"/>
      <c r="W21" s="4" t="s">
        <v>30</v>
      </c>
      <c r="AX21" s="4"/>
      <c r="AY21" s="4"/>
      <c r="AZ21" s="4"/>
      <c r="BA21" s="4"/>
      <c r="BB21" s="4"/>
      <c r="BC21" s="57"/>
    </row>
    <row r="22" spans="1:55" x14ac:dyDescent="0.25">
      <c r="A22" s="55"/>
      <c r="B22" s="63">
        <f>(210+38)/1362</f>
        <v>0.18208516886930984</v>
      </c>
      <c r="C22" s="55"/>
      <c r="D22" s="63">
        <f>(66+22)/1471</f>
        <v>5.9823249490142762E-2</v>
      </c>
      <c r="E22" s="55" t="s">
        <v>228</v>
      </c>
      <c r="I22" s="63">
        <f>(210+38)/1362</f>
        <v>0.18208516886930984</v>
      </c>
      <c r="J22" s="63">
        <f>(66+22)/1471</f>
        <v>5.9823249490142762E-2</v>
      </c>
      <c r="K22" s="55" t="s">
        <v>228</v>
      </c>
      <c r="M22" s="63">
        <f>(1607+2320)/34446</f>
        <v>0.11400452882773036</v>
      </c>
      <c r="N22" s="63">
        <f>(1480+4369)/35958</f>
        <v>0.16266199454919628</v>
      </c>
      <c r="O22" s="71">
        <f>5500</f>
        <v>5500</v>
      </c>
      <c r="P22" s="67" t="s">
        <v>8</v>
      </c>
      <c r="W22" s="1" t="s">
        <v>33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X22" s="58">
        <f>1-($AX$24-0.9)/3</f>
        <v>0.94912280701754392</v>
      </c>
      <c r="AY22" s="58">
        <f>AX22*$AY$20</f>
        <v>0.90166666666666673</v>
      </c>
      <c r="AZ22" s="57">
        <f>ROUND(AX22*AY18,0)</f>
        <v>1073</v>
      </c>
      <c r="BA22" s="57">
        <f>AVERAGE(AZ22:AZ25)</f>
        <v>1131</v>
      </c>
      <c r="BB22" s="57">
        <f>AY18/AY22</f>
        <v>1254.3438077634009</v>
      </c>
      <c r="BC22" s="57"/>
    </row>
    <row r="23" spans="1:55" s="4" customFormat="1" x14ac:dyDescent="0.25">
      <c r="A23" s="65"/>
      <c r="B23" s="63">
        <f>(1607+2320)/34446</f>
        <v>0.11400452882773036</v>
      </c>
      <c r="C23" s="65"/>
      <c r="D23" s="63">
        <f>(1480+4369)/35958</f>
        <v>0.16266199454919628</v>
      </c>
      <c r="E23" s="73" t="s">
        <v>8</v>
      </c>
      <c r="F23" s="1"/>
      <c r="I23" s="63">
        <f>(1607+2320)/34446</f>
        <v>0.11400452882773036</v>
      </c>
      <c r="J23" s="63">
        <f>(1480+4369)/35958</f>
        <v>0.16266199454919628</v>
      </c>
      <c r="K23" s="64" t="s">
        <v>8</v>
      </c>
      <c r="M23" s="63">
        <f>(1749+3994)/31893</f>
        <v>0.18007086194462735</v>
      </c>
      <c r="N23" s="63">
        <f>(1062+3285)/26566</f>
        <v>0.16363020402017617</v>
      </c>
      <c r="O23" s="71">
        <v>4200</v>
      </c>
      <c r="P23" s="67" t="s">
        <v>16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X23" s="58">
        <f>1-($AX$24-1.05)/3</f>
        <v>0.99912280701754386</v>
      </c>
      <c r="AY23" s="58">
        <f>AX23*$AY$20</f>
        <v>0.9491666666666666</v>
      </c>
      <c r="AZ23" s="57">
        <f>ROUND(AX23*AY18,0)</f>
        <v>1130</v>
      </c>
      <c r="BA23" s="57"/>
      <c r="BB23" s="57"/>
    </row>
    <row r="24" spans="1:55" x14ac:dyDescent="0.25">
      <c r="A24" s="55" t="s">
        <v>9</v>
      </c>
      <c r="B24" s="63">
        <f>(388+162)/10040</f>
        <v>5.4780876494023904E-2</v>
      </c>
      <c r="C24" s="55" t="s">
        <v>10</v>
      </c>
      <c r="D24" s="63">
        <f>(274+1538)/9975</f>
        <v>0.18165413533834587</v>
      </c>
      <c r="E24" s="55" t="s">
        <v>11</v>
      </c>
      <c r="F24" s="41"/>
      <c r="I24" s="63">
        <f>(388+162)/10040</f>
        <v>5.4780876494023904E-2</v>
      </c>
      <c r="J24" s="63">
        <f>(274+1538)/9975</f>
        <v>0.18165413533834587</v>
      </c>
      <c r="K24" s="55" t="s">
        <v>11</v>
      </c>
      <c r="M24" s="63">
        <f>(1101+2517)/20086</f>
        <v>0.18012546051976502</v>
      </c>
      <c r="N24" s="63">
        <f>(834+2580)/20854</f>
        <v>0.16370960007672389</v>
      </c>
      <c r="O24" s="71">
        <v>7800</v>
      </c>
      <c r="P24" s="67" t="s">
        <v>26</v>
      </c>
      <c r="AX24" s="58">
        <f>1/AY20</f>
        <v>1.0526315789473684</v>
      </c>
      <c r="AY24" s="58">
        <f>AX24*$AY$20</f>
        <v>0.99999999999999989</v>
      </c>
      <c r="AZ24" s="57">
        <f>ROUND(AX24*AY18,0)</f>
        <v>1191</v>
      </c>
      <c r="BA24" s="57"/>
      <c r="BB24" s="57"/>
    </row>
    <row r="25" spans="1:55" x14ac:dyDescent="0.25">
      <c r="A25" s="65"/>
      <c r="B25" s="63"/>
      <c r="C25" s="65"/>
      <c r="D25" s="63"/>
      <c r="E25" s="65" t="s">
        <v>12</v>
      </c>
      <c r="I25" s="63">
        <f>(53+307)/1988</f>
        <v>0.18108651911468812</v>
      </c>
      <c r="J25" s="63">
        <f>(109+31)/2142</f>
        <v>6.535947712418301E-2</v>
      </c>
      <c r="K25" s="55" t="s">
        <v>15</v>
      </c>
      <c r="M25" s="88">
        <f>SUMPRODUCT(M22:M24,$O$22:$O$24)/SUM($O$22:$O$24)</f>
        <v>0.15933149261566396</v>
      </c>
      <c r="N25" s="88">
        <f>SUMPRODUCT(N22:N24,$O$22:$O$24)/SUM($O$22:$O$24)</f>
        <v>0.16336129757164375</v>
      </c>
      <c r="O25" s="98">
        <f>SUM(O22:O24)</f>
        <v>17500</v>
      </c>
      <c r="P25" s="74" t="s">
        <v>246</v>
      </c>
      <c r="AX25" s="58">
        <f>1-($AX$24-1.05)/3</f>
        <v>0.99912280701754386</v>
      </c>
      <c r="AY25" s="58">
        <f>AX25*$AY$20</f>
        <v>0.9491666666666666</v>
      </c>
      <c r="AZ25" s="57">
        <f>ROUND(AX25*AY18,0)</f>
        <v>1130</v>
      </c>
      <c r="BA25" s="57"/>
      <c r="BB25" s="57"/>
    </row>
    <row r="26" spans="1:55" x14ac:dyDescent="0.25">
      <c r="A26" s="55" t="s">
        <v>13</v>
      </c>
      <c r="B26" s="63">
        <f>(53+307)/1988</f>
        <v>0.18108651911468812</v>
      </c>
      <c r="C26" s="55" t="s">
        <v>14</v>
      </c>
      <c r="D26" s="63">
        <f>(109+31)/2142</f>
        <v>6.535947712418301E-2</v>
      </c>
      <c r="E26" s="55" t="s">
        <v>15</v>
      </c>
      <c r="I26" s="63">
        <f>(1749+3994)/31893</f>
        <v>0.18007086194462735</v>
      </c>
      <c r="J26" s="63">
        <f>(1062+3285)/26566</f>
        <v>0.16363020402017617</v>
      </c>
      <c r="K26" s="64" t="s">
        <v>16</v>
      </c>
      <c r="M26" s="55" t="s">
        <v>229</v>
      </c>
      <c r="N26" s="55"/>
      <c r="O26" s="55"/>
      <c r="P26" s="55"/>
    </row>
    <row r="27" spans="1:55" x14ac:dyDescent="0.25">
      <c r="A27" s="65"/>
      <c r="B27" s="63">
        <f>(1749+3994)/31893</f>
        <v>0.18007086194462735</v>
      </c>
      <c r="C27" s="65"/>
      <c r="D27" s="63">
        <f>(1062+3285)/26566</f>
        <v>0.16363020402017617</v>
      </c>
      <c r="E27" s="73" t="s">
        <v>16</v>
      </c>
      <c r="I27" s="63">
        <f>(327+1840)/11943</f>
        <v>0.18144519802394707</v>
      </c>
      <c r="J27" s="66"/>
      <c r="K27" s="55" t="s">
        <v>19</v>
      </c>
    </row>
    <row r="28" spans="1:55" x14ac:dyDescent="0.25">
      <c r="A28" s="55" t="s">
        <v>17</v>
      </c>
      <c r="B28" s="63">
        <f>(327+1840)/11943</f>
        <v>0.18144519802394707</v>
      </c>
      <c r="C28" s="55" t="s">
        <v>18</v>
      </c>
      <c r="D28" s="66"/>
      <c r="E28" s="55" t="s">
        <v>19</v>
      </c>
      <c r="I28" s="66"/>
      <c r="J28" s="63">
        <f>(140+36)/3255</f>
        <v>5.4070660522273425E-2</v>
      </c>
      <c r="K28" s="55" t="s">
        <v>23</v>
      </c>
    </row>
    <row r="29" spans="1:55" x14ac:dyDescent="0.25">
      <c r="A29" s="65"/>
      <c r="B29" s="63"/>
      <c r="C29" s="65"/>
      <c r="D29" s="63"/>
      <c r="E29" s="65" t="s">
        <v>20</v>
      </c>
      <c r="G29" s="43"/>
      <c r="H29" s="43"/>
      <c r="I29" s="63">
        <f>(136+20)/1656</f>
        <v>9.420289855072464E-2</v>
      </c>
      <c r="J29" s="63">
        <f>(55+21)/1828</f>
        <v>4.1575492341356671E-2</v>
      </c>
      <c r="K29" s="55" t="s">
        <v>29</v>
      </c>
    </row>
    <row r="30" spans="1:55" x14ac:dyDescent="0.25">
      <c r="A30" s="55" t="s">
        <v>21</v>
      </c>
      <c r="B30" s="66"/>
      <c r="C30" s="55" t="s">
        <v>22</v>
      </c>
      <c r="D30" s="63">
        <f>(140+36)/3255</f>
        <v>5.4070660522273425E-2</v>
      </c>
      <c r="E30" s="55" t="s">
        <v>23</v>
      </c>
      <c r="I30" s="63">
        <f>(1101+2517)/20086</f>
        <v>0.18012546051976502</v>
      </c>
      <c r="J30" s="63">
        <f>(834+2580)/20854</f>
        <v>0.16370960007672389</v>
      </c>
      <c r="K30" s="67" t="s">
        <v>26</v>
      </c>
      <c r="R30" s="6"/>
    </row>
    <row r="31" spans="1:55" ht="18" x14ac:dyDescent="0.25">
      <c r="A31" s="55" t="s">
        <v>27</v>
      </c>
      <c r="B31" s="63">
        <f>(136+20)/1656</f>
        <v>9.420289855072464E-2</v>
      </c>
      <c r="C31" s="55" t="s">
        <v>28</v>
      </c>
      <c r="D31" s="63">
        <f>(55+21)/1828</f>
        <v>4.1575492341356671E-2</v>
      </c>
      <c r="E31" s="55" t="s">
        <v>29</v>
      </c>
      <c r="I31" s="63">
        <f>(258+20)/1855</f>
        <v>0.14986522911051212</v>
      </c>
      <c r="J31" s="63">
        <f>(50+16)/1814</f>
        <v>3.6383682469680267E-2</v>
      </c>
      <c r="K31" s="55" t="s">
        <v>33</v>
      </c>
      <c r="M31" s="130" t="s">
        <v>260</v>
      </c>
      <c r="N31" s="130"/>
      <c r="O31" s="130"/>
      <c r="P31" s="130"/>
    </row>
    <row r="32" spans="1:55" x14ac:dyDescent="0.25">
      <c r="A32" s="55" t="s">
        <v>24</v>
      </c>
      <c r="B32" s="63">
        <f>(1101+2517)/20086</f>
        <v>0.18012546051976502</v>
      </c>
      <c r="C32" s="55" t="s">
        <v>25</v>
      </c>
      <c r="D32" s="63">
        <f>(834+2580)/20854</f>
        <v>0.16370960007672389</v>
      </c>
      <c r="E32" s="68" t="s">
        <v>26</v>
      </c>
      <c r="I32" s="67"/>
      <c r="J32" s="69" t="s">
        <v>231</v>
      </c>
      <c r="K32" s="70"/>
      <c r="M32" s="62" t="s">
        <v>233</v>
      </c>
      <c r="N32" s="62" t="s">
        <v>234</v>
      </c>
      <c r="O32" s="62" t="s">
        <v>236</v>
      </c>
      <c r="P32" s="62" t="s">
        <v>230</v>
      </c>
    </row>
    <row r="33" spans="1:16" x14ac:dyDescent="0.25">
      <c r="A33" s="55" t="s">
        <v>31</v>
      </c>
      <c r="B33" s="63">
        <f>(258+20)/1855</f>
        <v>0.14986522911051212</v>
      </c>
      <c r="C33" s="55" t="s">
        <v>32</v>
      </c>
      <c r="D33" s="63">
        <f>(50+16)/1814</f>
        <v>3.6383682469680267E-2</v>
      </c>
      <c r="E33" s="55" t="s">
        <v>33</v>
      </c>
      <c r="I33" s="68"/>
      <c r="J33" s="69" t="s">
        <v>232</v>
      </c>
      <c r="K33" s="70"/>
      <c r="M33" s="63">
        <f>(2320)/34446</f>
        <v>6.735179701561865E-2</v>
      </c>
      <c r="N33" s="63">
        <f>(4369)/35958</f>
        <v>0.12150286445297291</v>
      </c>
      <c r="O33" s="173">
        <f>5500</f>
        <v>5500</v>
      </c>
      <c r="P33" s="67" t="s">
        <v>8</v>
      </c>
    </row>
    <row r="34" spans="1:16" x14ac:dyDescent="0.25">
      <c r="A34" s="129" t="s">
        <v>229</v>
      </c>
      <c r="B34" s="129"/>
      <c r="C34" s="129"/>
      <c r="D34" s="129"/>
      <c r="E34" s="129"/>
      <c r="I34" s="97" t="s">
        <v>229</v>
      </c>
      <c r="J34" s="97"/>
      <c r="K34" s="97"/>
      <c r="M34" s="63">
        <f>(3994)/31893</f>
        <v>0.12523124196532154</v>
      </c>
      <c r="N34" s="63">
        <f>(3285)/26566</f>
        <v>0.12365429496348716</v>
      </c>
      <c r="O34" s="173">
        <v>4200</v>
      </c>
      <c r="P34" s="67" t="s">
        <v>16</v>
      </c>
    </row>
    <row r="35" spans="1:16" x14ac:dyDescent="0.25">
      <c r="I35" s="57"/>
      <c r="J35" s="57"/>
      <c r="K35" s="57"/>
      <c r="M35" s="63">
        <f>(2517)/20086</f>
        <v>0.12531116200338543</v>
      </c>
      <c r="N35" s="63">
        <f>(2580)/20854</f>
        <v>0.12371727246571401</v>
      </c>
      <c r="O35" s="173">
        <v>7800</v>
      </c>
      <c r="P35" s="67" t="s">
        <v>26</v>
      </c>
    </row>
    <row r="36" spans="1:16" ht="15.75" customHeight="1" x14ac:dyDescent="0.25">
      <c r="I36" s="118" t="s">
        <v>247</v>
      </c>
      <c r="J36" s="119"/>
      <c r="K36" s="120"/>
      <c r="M36" s="55" t="s">
        <v>229</v>
      </c>
      <c r="N36" s="55"/>
      <c r="O36" s="55"/>
      <c r="P36" s="55"/>
    </row>
    <row r="37" spans="1:16" x14ac:dyDescent="0.25">
      <c r="I37" s="56" t="s">
        <v>233</v>
      </c>
      <c r="J37" s="56" t="s">
        <v>234</v>
      </c>
      <c r="K37" s="56" t="s">
        <v>230</v>
      </c>
    </row>
    <row r="38" spans="1:16" ht="18" x14ac:dyDescent="0.25">
      <c r="I38" s="63">
        <f>(250+2247)/48191</f>
        <v>5.1814654188541427E-2</v>
      </c>
      <c r="J38" s="63">
        <f>(228+1523)/36974</f>
        <v>4.7357602639692756E-2</v>
      </c>
      <c r="K38" s="67" t="s">
        <v>254</v>
      </c>
      <c r="M38" s="118" t="s">
        <v>261</v>
      </c>
      <c r="N38" s="119"/>
      <c r="O38" s="119"/>
      <c r="P38" s="120"/>
    </row>
    <row r="39" spans="1:16" x14ac:dyDescent="0.25">
      <c r="I39" s="63">
        <f>(4+38)/1362</f>
        <v>3.0837004405286344E-2</v>
      </c>
      <c r="J39" s="63">
        <f>(66+4)/1471</f>
        <v>4.7586675730795377E-2</v>
      </c>
      <c r="K39" s="55" t="s">
        <v>228</v>
      </c>
      <c r="M39" s="62" t="s">
        <v>233</v>
      </c>
      <c r="N39" s="62" t="s">
        <v>234</v>
      </c>
      <c r="O39" s="62" t="s">
        <v>236</v>
      </c>
      <c r="P39" s="62" t="s">
        <v>230</v>
      </c>
    </row>
    <row r="40" spans="1:16" x14ac:dyDescent="0.25">
      <c r="I40" s="63">
        <f>(1607+179)/34446</f>
        <v>5.1849271323230563E-2</v>
      </c>
      <c r="J40" s="63">
        <f>(1480+222)/35958</f>
        <v>4.733299961065688E-2</v>
      </c>
      <c r="K40" s="64" t="s">
        <v>8</v>
      </c>
      <c r="M40" s="63">
        <f>(1607)/34446</f>
        <v>4.6652731812111714E-2</v>
      </c>
      <c r="N40" s="63">
        <f>(1480)/35958</f>
        <v>4.1159130096223372E-2</v>
      </c>
      <c r="O40" s="173">
        <f>5500</f>
        <v>5500</v>
      </c>
      <c r="P40" s="67" t="s">
        <v>8</v>
      </c>
    </row>
    <row r="41" spans="1:16" x14ac:dyDescent="0.25">
      <c r="I41" s="63">
        <f>(388+23)/10040</f>
        <v>4.0936254980079682E-2</v>
      </c>
      <c r="J41" s="63">
        <f>(274+28)/9975</f>
        <v>3.0275689223057643E-2</v>
      </c>
      <c r="K41" s="55" t="s">
        <v>11</v>
      </c>
      <c r="M41" s="63">
        <f>(1749)/31893</f>
        <v>5.4839619979305802E-2</v>
      </c>
      <c r="N41" s="63">
        <f>(1062)/26566</f>
        <v>3.9975909056688998E-2</v>
      </c>
      <c r="O41" s="173">
        <v>4200</v>
      </c>
      <c r="P41" s="67" t="s">
        <v>16</v>
      </c>
    </row>
    <row r="42" spans="1:16" x14ac:dyDescent="0.25">
      <c r="I42" s="63">
        <f>(53+5)/1988</f>
        <v>2.9175050301810865E-2</v>
      </c>
      <c r="J42" s="63">
        <f>(109+3)/2142</f>
        <v>5.2287581699346407E-2</v>
      </c>
      <c r="K42" s="55" t="s">
        <v>15</v>
      </c>
      <c r="M42" s="63">
        <f>(1101)/20086</f>
        <v>5.4814298516379568E-2</v>
      </c>
      <c r="N42" s="63">
        <f>(834)/20854</f>
        <v>3.9992327611009876E-2</v>
      </c>
      <c r="O42" s="173">
        <v>7800</v>
      </c>
      <c r="P42" s="67" t="s">
        <v>26</v>
      </c>
    </row>
    <row r="43" spans="1:16" x14ac:dyDescent="0.25">
      <c r="I43" s="63">
        <f>(1749+397)/31893</f>
        <v>6.7287492553224845E-2</v>
      </c>
      <c r="J43" s="63">
        <f>(1062+226)/26566</f>
        <v>4.8483023413385527E-2</v>
      </c>
      <c r="K43" s="64" t="s">
        <v>16</v>
      </c>
      <c r="M43" s="55" t="s">
        <v>229</v>
      </c>
      <c r="N43" s="55"/>
      <c r="O43" s="55"/>
      <c r="P43" s="55"/>
    </row>
    <row r="44" spans="1:16" x14ac:dyDescent="0.25">
      <c r="I44" s="63">
        <f>(327+34)/11943</f>
        <v>3.0226911161349745E-2</v>
      </c>
      <c r="J44" s="66"/>
      <c r="K44" s="55" t="s">
        <v>19</v>
      </c>
    </row>
    <row r="45" spans="1:16" ht="18" x14ac:dyDescent="0.25">
      <c r="I45" s="66"/>
      <c r="J45" s="63">
        <f>(140+31)/3255</f>
        <v>5.2534562211981564E-2</v>
      </c>
      <c r="K45" s="55" t="s">
        <v>23</v>
      </c>
      <c r="M45" s="118" t="s">
        <v>262</v>
      </c>
      <c r="N45" s="119"/>
      <c r="O45" s="119"/>
      <c r="P45" s="120"/>
    </row>
    <row r="46" spans="1:16" x14ac:dyDescent="0.25">
      <c r="I46" s="63">
        <f>(136+16)/1656</f>
        <v>9.1787439613526575E-2</v>
      </c>
      <c r="J46" s="63">
        <f>(55+17)/1828</f>
        <v>3.9387308533916851E-2</v>
      </c>
      <c r="K46" s="55" t="s">
        <v>29</v>
      </c>
      <c r="M46" s="62" t="s">
        <v>233</v>
      </c>
      <c r="N46" s="62" t="s">
        <v>234</v>
      </c>
      <c r="O46" s="62" t="s">
        <v>236</v>
      </c>
      <c r="P46" s="62" t="s">
        <v>230</v>
      </c>
    </row>
    <row r="47" spans="1:16" x14ac:dyDescent="0.25">
      <c r="I47" s="63">
        <f>(1101+250)/20086</f>
        <v>6.7260778651797276E-2</v>
      </c>
      <c r="J47" s="63">
        <f>(834+178)/20854</f>
        <v>4.8527860362520381E-2</v>
      </c>
      <c r="K47" s="67" t="s">
        <v>26</v>
      </c>
      <c r="M47" s="63">
        <f>(21294)/34446</f>
        <v>0.61818498519421705</v>
      </c>
      <c r="N47" s="63">
        <f>(21294)/35958</f>
        <v>0.59219088937093278</v>
      </c>
      <c r="O47" s="173">
        <f>5500</f>
        <v>5500</v>
      </c>
      <c r="P47" s="67" t="s">
        <v>8</v>
      </c>
    </row>
    <row r="48" spans="1:16" x14ac:dyDescent="0.25">
      <c r="I48" s="63">
        <f>(258+16)/1855</f>
        <v>0.1477088948787062</v>
      </c>
      <c r="J48" s="63">
        <f>(50+10)/1814</f>
        <v>3.3076074972436607E-2</v>
      </c>
      <c r="K48" s="55" t="s">
        <v>33</v>
      </c>
      <c r="M48" s="63">
        <f>(17430)/31893</f>
        <v>0.54651490922773027</v>
      </c>
      <c r="N48" s="63">
        <f>(15765)/26566</f>
        <v>0.59342768952796809</v>
      </c>
      <c r="O48" s="173">
        <v>4200</v>
      </c>
      <c r="P48" s="67" t="s">
        <v>16</v>
      </c>
    </row>
    <row r="49" spans="9:16" x14ac:dyDescent="0.25">
      <c r="I49" s="67"/>
      <c r="J49" s="69" t="s">
        <v>231</v>
      </c>
      <c r="K49" s="70"/>
      <c r="M49" s="63">
        <f>(10977)/20086</f>
        <v>0.54650004978592059</v>
      </c>
      <c r="N49" s="63">
        <f>(12374)/20854</f>
        <v>0.59336338352354467</v>
      </c>
      <c r="O49" s="173">
        <v>7800</v>
      </c>
      <c r="P49" s="67" t="s">
        <v>26</v>
      </c>
    </row>
    <row r="50" spans="9:16" x14ac:dyDescent="0.25">
      <c r="I50" s="68"/>
      <c r="J50" s="69" t="s">
        <v>232</v>
      </c>
      <c r="K50" s="70"/>
      <c r="M50" s="55" t="s">
        <v>229</v>
      </c>
      <c r="N50" s="55"/>
      <c r="O50" s="55"/>
      <c r="P50" s="55"/>
    </row>
    <row r="51" spans="9:16" x14ac:dyDescent="0.25">
      <c r="I51" s="97" t="s">
        <v>229</v>
      </c>
      <c r="J51" s="97"/>
      <c r="K51" s="97"/>
    </row>
    <row r="52" spans="9:16" ht="18" x14ac:dyDescent="0.25">
      <c r="I52" s="57"/>
      <c r="J52" s="57"/>
      <c r="K52" s="57"/>
      <c r="M52" s="118" t="s">
        <v>263</v>
      </c>
      <c r="N52" s="119"/>
      <c r="O52" s="119"/>
      <c r="P52" s="120"/>
    </row>
    <row r="53" spans="9:16" ht="18" x14ac:dyDescent="0.25">
      <c r="I53" s="118" t="s">
        <v>248</v>
      </c>
      <c r="J53" s="119"/>
      <c r="K53" s="120"/>
      <c r="M53" s="62" t="s">
        <v>233</v>
      </c>
      <c r="N53" s="62" t="s">
        <v>234</v>
      </c>
      <c r="O53" s="62" t="s">
        <v>236</v>
      </c>
      <c r="P53" s="62" t="s">
        <v>230</v>
      </c>
    </row>
    <row r="54" spans="9:16" x14ac:dyDescent="0.25">
      <c r="I54" s="56" t="s">
        <v>233</v>
      </c>
      <c r="J54" s="56" t="s">
        <v>234</v>
      </c>
      <c r="K54" s="56" t="s">
        <v>230</v>
      </c>
      <c r="M54" s="63">
        <f>(179)/34446</f>
        <v>5.196539511118853E-3</v>
      </c>
      <c r="N54" s="63">
        <f>(222)/35958</f>
        <v>6.1738695144335056E-3</v>
      </c>
      <c r="O54" s="173">
        <f>5500</f>
        <v>5500</v>
      </c>
      <c r="P54" s="67" t="s">
        <v>8</v>
      </c>
    </row>
    <row r="55" spans="9:16" x14ac:dyDescent="0.25">
      <c r="I55" s="63">
        <f>(3245)/48191</f>
        <v>6.7336224606254283E-2</v>
      </c>
      <c r="J55" s="63">
        <f>(4491)/36794</f>
        <v>0.1220579442300375</v>
      </c>
      <c r="K55" s="67" t="s">
        <v>254</v>
      </c>
      <c r="M55" s="63">
        <f>(397)/31893</f>
        <v>1.2447872573919041E-2</v>
      </c>
      <c r="N55" s="63">
        <f>(226)/26566</f>
        <v>8.5071143566965296E-3</v>
      </c>
      <c r="O55" s="173">
        <v>4200</v>
      </c>
      <c r="P55" s="67" t="s">
        <v>16</v>
      </c>
    </row>
    <row r="56" spans="9:16" x14ac:dyDescent="0.25">
      <c r="I56" s="63">
        <f>(210)/1362</f>
        <v>0.15418502202643172</v>
      </c>
      <c r="J56" s="63">
        <f>(22)/1471</f>
        <v>1.495581237253569E-2</v>
      </c>
      <c r="K56" s="55" t="s">
        <v>228</v>
      </c>
      <c r="M56" s="63">
        <f>(250)/20086</f>
        <v>1.2446480135417704E-2</v>
      </c>
      <c r="N56" s="63">
        <f>(178)/20854</f>
        <v>8.5355327515105016E-3</v>
      </c>
      <c r="O56" s="173">
        <v>7800</v>
      </c>
      <c r="P56" s="67" t="s">
        <v>26</v>
      </c>
    </row>
    <row r="57" spans="9:16" x14ac:dyDescent="0.25">
      <c r="I57" s="63">
        <f>(2320)/34446</f>
        <v>6.735179701561865E-2</v>
      </c>
      <c r="J57" s="63">
        <f>(1480+4369)/35958</f>
        <v>0.16266199454919628</v>
      </c>
      <c r="K57" s="64" t="s">
        <v>8</v>
      </c>
      <c r="M57" s="55" t="s">
        <v>229</v>
      </c>
      <c r="N57" s="55"/>
      <c r="O57" s="55"/>
      <c r="P57" s="55"/>
    </row>
    <row r="58" spans="9:16" x14ac:dyDescent="0.25">
      <c r="I58" s="63">
        <f>(388+162)/10040</f>
        <v>5.4780876494023904E-2</v>
      </c>
      <c r="J58" s="63">
        <f>(1538)/9975</f>
        <v>0.15418546365914787</v>
      </c>
      <c r="K58" s="55" t="s">
        <v>11</v>
      </c>
    </row>
    <row r="59" spans="9:16" ht="18" x14ac:dyDescent="0.25">
      <c r="I59" s="63">
        <f>(53)/1988</f>
        <v>2.6659959758551309E-2</v>
      </c>
      <c r="J59" s="63">
        <f>(31)/2142</f>
        <v>1.4472455648926238E-2</v>
      </c>
      <c r="K59" s="55" t="s">
        <v>15</v>
      </c>
      <c r="M59" s="118" t="s">
        <v>264</v>
      </c>
      <c r="N59" s="119"/>
      <c r="O59" s="119"/>
      <c r="P59" s="120"/>
    </row>
    <row r="60" spans="9:16" x14ac:dyDescent="0.25">
      <c r="I60" s="63">
        <f>(3994)/31893</f>
        <v>0.12523124196532154</v>
      </c>
      <c r="J60" s="63">
        <f>(3285)/26566</f>
        <v>0.12365429496348716</v>
      </c>
      <c r="K60" s="64" t="s">
        <v>16</v>
      </c>
      <c r="M60" s="62" t="s">
        <v>233</v>
      </c>
      <c r="N60" s="62" t="s">
        <v>234</v>
      </c>
      <c r="O60" s="62" t="s">
        <v>236</v>
      </c>
      <c r="P60" s="62" t="s">
        <v>230</v>
      </c>
    </row>
    <row r="61" spans="9:16" x14ac:dyDescent="0.25">
      <c r="I61" s="63">
        <f>(1840)/11943</f>
        <v>0.15406514276145022</v>
      </c>
      <c r="J61" s="66"/>
      <c r="K61" s="55" t="s">
        <v>19</v>
      </c>
      <c r="M61" s="63">
        <f>(35)/34446</f>
        <v>1.0160831446321779E-3</v>
      </c>
      <c r="N61" s="63">
        <f>(111)/35958</f>
        <v>3.0869347572167528E-3</v>
      </c>
      <c r="O61" s="173">
        <f>5500</f>
        <v>5500</v>
      </c>
      <c r="P61" s="67" t="s">
        <v>8</v>
      </c>
    </row>
    <row r="62" spans="9:16" x14ac:dyDescent="0.25">
      <c r="I62" s="66"/>
      <c r="J62" s="63">
        <f>(36)/3255</f>
        <v>1.1059907834101382E-2</v>
      </c>
      <c r="K62" s="55" t="s">
        <v>23</v>
      </c>
      <c r="M62" s="63">
        <f>(260)/31893</f>
        <v>8.1522591164205314E-3</v>
      </c>
      <c r="N62" s="63">
        <f>(119)/26566</f>
        <v>4.4794097718888802E-3</v>
      </c>
      <c r="O62" s="173">
        <v>4200</v>
      </c>
      <c r="P62" s="67" t="s">
        <v>16</v>
      </c>
    </row>
    <row r="63" spans="9:16" x14ac:dyDescent="0.25">
      <c r="I63" s="63">
        <f>(20)/1656</f>
        <v>1.2077294685990338E-2</v>
      </c>
      <c r="J63" s="63">
        <f>(21)/1828</f>
        <v>1.1487964989059081E-2</v>
      </c>
      <c r="K63" s="55" t="s">
        <v>29</v>
      </c>
      <c r="M63" s="63">
        <f>(164)/20086</f>
        <v>8.1648909688340141E-3</v>
      </c>
      <c r="N63" s="63">
        <f>(93)/20854</f>
        <v>4.4595761005082959E-3</v>
      </c>
      <c r="O63" s="173">
        <v>7800</v>
      </c>
      <c r="P63" s="67" t="s">
        <v>26</v>
      </c>
    </row>
    <row r="64" spans="9:16" x14ac:dyDescent="0.25">
      <c r="I64" s="63">
        <f>(2517)/20086</f>
        <v>0.12531116200338543</v>
      </c>
      <c r="J64" s="63">
        <f>(2580)/20854</f>
        <v>0.12371727246571401</v>
      </c>
      <c r="K64" s="67" t="s">
        <v>26</v>
      </c>
      <c r="M64" s="55" t="s">
        <v>229</v>
      </c>
      <c r="N64" s="55"/>
      <c r="O64" s="55"/>
      <c r="P64" s="55"/>
    </row>
    <row r="65" spans="9:16" x14ac:dyDescent="0.25">
      <c r="I65" s="63">
        <f>(20)/1855</f>
        <v>1.078167115902965E-2</v>
      </c>
      <c r="J65" s="63">
        <f>(16)/1814</f>
        <v>8.8202866593164279E-3</v>
      </c>
      <c r="K65" s="55" t="s">
        <v>33</v>
      </c>
    </row>
    <row r="66" spans="9:16" ht="18" x14ac:dyDescent="0.25">
      <c r="I66" s="67"/>
      <c r="J66" s="69" t="s">
        <v>231</v>
      </c>
      <c r="K66" s="70"/>
      <c r="M66" s="118" t="s">
        <v>265</v>
      </c>
      <c r="N66" s="119"/>
      <c r="O66" s="119"/>
      <c r="P66" s="120"/>
    </row>
    <row r="67" spans="9:16" x14ac:dyDescent="0.25">
      <c r="I67" s="68"/>
      <c r="J67" s="69" t="s">
        <v>232</v>
      </c>
      <c r="K67" s="70"/>
      <c r="M67" s="62" t="s">
        <v>266</v>
      </c>
      <c r="N67" s="62" t="s">
        <v>267</v>
      </c>
      <c r="O67" s="62" t="s">
        <v>236</v>
      </c>
      <c r="P67" s="62" t="s">
        <v>230</v>
      </c>
    </row>
    <row r="68" spans="9:16" x14ac:dyDescent="0.25">
      <c r="I68" s="97" t="s">
        <v>229</v>
      </c>
      <c r="J68" s="97"/>
      <c r="K68" s="97"/>
      <c r="M68" s="174">
        <f>SUM('FREEVAL INPUT 2020 Hourly'!G14,'FREEVAL INPUT 2020 Hourly'!P46)</f>
        <v>6162.5433207160004</v>
      </c>
      <c r="N68" s="174">
        <f>SUM('FREEVAL INPUT 2020 Hourly'!G23,'FREEVAL INPUT 2020 Hourly'!P55)</f>
        <v>6985.3265681043758</v>
      </c>
      <c r="O68" s="175">
        <f>5500</f>
        <v>5500</v>
      </c>
      <c r="P68" s="176" t="s">
        <v>8</v>
      </c>
    </row>
    <row r="69" spans="9:16" x14ac:dyDescent="0.25">
      <c r="M69" s="174">
        <f>SUM('FREEVAL INPUT 2020 Hourly'!K14,'FREEVAL INPUT 2020 Hourly'!L46)</f>
        <v>4767.5209315236252</v>
      </c>
      <c r="N69" s="174">
        <f>SUM('FREEVAL INPUT 2020 Hourly'!K23,'FREEVAL INPUT 2020 Hourly'!L55)</f>
        <v>5618</v>
      </c>
      <c r="O69" s="175">
        <v>4200</v>
      </c>
      <c r="P69" s="176" t="s">
        <v>16</v>
      </c>
    </row>
    <row r="70" spans="9:16" x14ac:dyDescent="0.25">
      <c r="M70" s="174">
        <f>SUM('FREEVAL INPUT 2020 Hourly'!H46,'FREEVAL INPUT 2020 Hourly'!O14)</f>
        <v>3358</v>
      </c>
      <c r="N70" s="174">
        <f>SUM('FREEVAL INPUT 2020 Hourly'!O23,'FREEVAL INPUT 2020 Hourly'!H55)</f>
        <v>4115</v>
      </c>
      <c r="O70" s="175">
        <v>7800</v>
      </c>
      <c r="P70" s="176" t="s">
        <v>26</v>
      </c>
    </row>
    <row r="71" spans="9:16" x14ac:dyDescent="0.25">
      <c r="M71" s="177"/>
      <c r="N71" s="178"/>
      <c r="O71" s="178"/>
      <c r="P71" s="178"/>
    </row>
    <row r="72" spans="9:16" ht="18" x14ac:dyDescent="0.25">
      <c r="M72" s="179" t="s">
        <v>268</v>
      </c>
      <c r="N72" s="180"/>
      <c r="O72" s="180"/>
      <c r="P72" s="181"/>
    </row>
    <row r="73" spans="9:16" x14ac:dyDescent="0.25">
      <c r="M73" s="182" t="s">
        <v>266</v>
      </c>
      <c r="N73" s="182" t="s">
        <v>267</v>
      </c>
      <c r="O73" s="182" t="s">
        <v>236</v>
      </c>
      <c r="P73" s="182" t="s">
        <v>230</v>
      </c>
    </row>
    <row r="74" spans="9:16" x14ac:dyDescent="0.25">
      <c r="M74" s="174">
        <f>SUM('FREEVAL INPUT 2023 Hourly'!G14,'FREEVAL INPUT 2023 Hourly'!P46)</f>
        <v>6309</v>
      </c>
      <c r="N74" s="174">
        <f>SUM('FREEVAL INPUT 2023 Hourly'!G23,'FREEVAL INPUT 2023 Hourly'!P55)</f>
        <v>7138</v>
      </c>
      <c r="O74" s="175">
        <f>5500</f>
        <v>5500</v>
      </c>
      <c r="P74" s="176" t="s">
        <v>8</v>
      </c>
    </row>
    <row r="75" spans="9:16" x14ac:dyDescent="0.25">
      <c r="M75" s="174">
        <f>SUM('FREEVAL INPUT 2023 Hourly'!K14,'FREEVAL INPUT 2023 Hourly'!L46)</f>
        <v>4900</v>
      </c>
      <c r="N75" s="174">
        <f>SUM('FREEVAL INPUT 2023 Hourly'!K23,'FREEVAL INPUT 2023 Hourly'!L55)</f>
        <v>5750</v>
      </c>
      <c r="O75" s="175">
        <v>4200</v>
      </c>
      <c r="P75" s="176" t="s">
        <v>16</v>
      </c>
    </row>
    <row r="76" spans="9:16" x14ac:dyDescent="0.25">
      <c r="M76" s="174">
        <f>SUM('FREEVAL INPUT 2023 Hourly'!H46,'FREEVAL INPUT 2023 Hourly'!O14)</f>
        <v>3450</v>
      </c>
      <c r="N76" s="174">
        <f>SUM('FREEVAL INPUT 2023 Hourly'!O23,'FREEVAL INPUT 2023 Hourly'!H55)</f>
        <v>4219</v>
      </c>
      <c r="O76" s="175">
        <v>7800</v>
      </c>
      <c r="P76" s="176" t="s">
        <v>26</v>
      </c>
    </row>
    <row r="77" spans="9:16" x14ac:dyDescent="0.25">
      <c r="M77" s="178"/>
      <c r="N77" s="178"/>
      <c r="O77" s="178"/>
      <c r="P77" s="178"/>
    </row>
    <row r="78" spans="9:16" ht="18" x14ac:dyDescent="0.25">
      <c r="M78" s="179" t="s">
        <v>269</v>
      </c>
      <c r="N78" s="180"/>
      <c r="O78" s="180"/>
      <c r="P78" s="181"/>
    </row>
    <row r="79" spans="9:16" x14ac:dyDescent="0.25">
      <c r="M79" s="182" t="s">
        <v>266</v>
      </c>
      <c r="N79" s="182" t="s">
        <v>267</v>
      </c>
      <c r="O79" s="182" t="s">
        <v>236</v>
      </c>
      <c r="P79" s="182" t="s">
        <v>230</v>
      </c>
    </row>
    <row r="80" spans="9:16" x14ac:dyDescent="0.25">
      <c r="M80" s="174">
        <f>SUM('FREEVAL INPUT 2045 Hourly'!G14,'FREEVAL INPUT 2045 Hourly'!P46)</f>
        <v>7494</v>
      </c>
      <c r="N80" s="174">
        <f>SUM('FREEVAL INPUT 2045 Hourly'!G23,'FREEVAL INPUT 2045 Hourly'!P55)</f>
        <v>8380</v>
      </c>
      <c r="O80" s="175">
        <f>5500</f>
        <v>5500</v>
      </c>
      <c r="P80" s="176" t="s">
        <v>8</v>
      </c>
    </row>
    <row r="81" spans="13:16" x14ac:dyDescent="0.25">
      <c r="M81" s="174">
        <f>SUM('FREEVAL INPUT 2045 Hourly'!K14,'FREEVAL INPUT 2045 Hourly'!L46)</f>
        <v>5978</v>
      </c>
      <c r="N81" s="174">
        <f>SUM('FREEVAL INPUT 2045 Hourly'!K23,'FREEVAL INPUT 2045 Hourly'!L55)</f>
        <v>6814</v>
      </c>
      <c r="O81" s="175">
        <v>4200</v>
      </c>
      <c r="P81" s="176" t="s">
        <v>16</v>
      </c>
    </row>
    <row r="82" spans="13:16" x14ac:dyDescent="0.25">
      <c r="M82" s="174">
        <f>SUM('FREEVAL INPUT 2045 Hourly'!H46,'FREEVAL INPUT 2045 Hourly'!O14)</f>
        <v>4201</v>
      </c>
      <c r="N82" s="174">
        <f>SUM('FREEVAL INPUT 2045 Hourly'!O23,'FREEVAL INPUT 2045 Hourly'!H55)</f>
        <v>5069</v>
      </c>
      <c r="O82" s="175">
        <v>7800</v>
      </c>
      <c r="P82" s="176" t="s">
        <v>26</v>
      </c>
    </row>
  </sheetData>
  <mergeCells count="56">
    <mergeCell ref="M78:P78"/>
    <mergeCell ref="M52:P52"/>
    <mergeCell ref="M59:P59"/>
    <mergeCell ref="M66:P66"/>
    <mergeCell ref="M72:P72"/>
    <mergeCell ref="M31:P31"/>
    <mergeCell ref="M38:P38"/>
    <mergeCell ref="M45:P45"/>
    <mergeCell ref="Z4:AV4"/>
    <mergeCell ref="AG10:AH10"/>
    <mergeCell ref="AG11:AH11"/>
    <mergeCell ref="Z9:AV9"/>
    <mergeCell ref="Z10:AD10"/>
    <mergeCell ref="Z11:AD11"/>
    <mergeCell ref="AR10:AV10"/>
    <mergeCell ref="AR11:AV11"/>
    <mergeCell ref="AR7:AV7"/>
    <mergeCell ref="Z8:AD8"/>
    <mergeCell ref="AE8:AV8"/>
    <mergeCell ref="AO7:AQ7"/>
    <mergeCell ref="Z12:AD12"/>
    <mergeCell ref="AE12:AV12"/>
    <mergeCell ref="Z13:AV13"/>
    <mergeCell ref="Z14:AV14"/>
    <mergeCell ref="C20:D20"/>
    <mergeCell ref="AX12:AZ12"/>
    <mergeCell ref="Z16:AV16"/>
    <mergeCell ref="K17:N17"/>
    <mergeCell ref="AX4:AZ4"/>
    <mergeCell ref="Z5:AV5"/>
    <mergeCell ref="Z6:AD6"/>
    <mergeCell ref="AE6:AF6"/>
    <mergeCell ref="AG6:AJ6"/>
    <mergeCell ref="AK6:AN6"/>
    <mergeCell ref="AO6:AQ6"/>
    <mergeCell ref="AR6:AV6"/>
    <mergeCell ref="Z7:AD7"/>
    <mergeCell ref="AE7:AF7"/>
    <mergeCell ref="AG7:AJ7"/>
    <mergeCell ref="AK7:AN7"/>
    <mergeCell ref="I53:K53"/>
    <mergeCell ref="I36:K36"/>
    <mergeCell ref="E2:T2"/>
    <mergeCell ref="A2:C2"/>
    <mergeCell ref="AX17:BB17"/>
    <mergeCell ref="Z15:AV15"/>
    <mergeCell ref="Z18:AV18"/>
    <mergeCell ref="BB4:BC4"/>
    <mergeCell ref="A34:E34"/>
    <mergeCell ref="I19:K19"/>
    <mergeCell ref="AX5:AY5"/>
    <mergeCell ref="M19:P19"/>
    <mergeCell ref="Z19:AV19"/>
    <mergeCell ref="Z20:AV20"/>
    <mergeCell ref="A19:D19"/>
    <mergeCell ref="A20:B20"/>
  </mergeCells>
  <hyperlinks>
    <hyperlink ref="Z15:AV15" r:id="rId1" display="CrashSummary_NB49_14to18.xlsx"/>
    <hyperlink ref="Z16:AV16" r:id="rId2" display="CrashSummary_SB49_14to18.xlsx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122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123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109</v>
      </c>
      <c r="I16" s="30">
        <v>109</v>
      </c>
      <c r="J16" s="29"/>
      <c r="K16" s="30">
        <v>97</v>
      </c>
      <c r="L16" s="30">
        <v>97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64</v>
      </c>
      <c r="I17" s="30">
        <v>64</v>
      </c>
      <c r="J17" s="29"/>
      <c r="K17" s="30">
        <v>81</v>
      </c>
      <c r="L17" s="30">
        <v>81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38</v>
      </c>
      <c r="I18" s="30">
        <v>38</v>
      </c>
      <c r="J18" s="29"/>
      <c r="K18" s="30">
        <v>49</v>
      </c>
      <c r="L18" s="30">
        <v>49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62</v>
      </c>
      <c r="I19" s="30">
        <v>62</v>
      </c>
      <c r="J19" s="29"/>
      <c r="K19" s="30">
        <v>73</v>
      </c>
      <c r="L19" s="30">
        <v>73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69</v>
      </c>
      <c r="I20" s="30">
        <v>69</v>
      </c>
      <c r="J20" s="29"/>
      <c r="K20" s="30">
        <v>81</v>
      </c>
      <c r="L20" s="30">
        <v>81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139</v>
      </c>
      <c r="I21" s="30">
        <v>139</v>
      </c>
      <c r="J21" s="29"/>
      <c r="K21" s="30">
        <v>143</v>
      </c>
      <c r="L21" s="30">
        <v>143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369</v>
      </c>
      <c r="I22" s="30">
        <v>369</v>
      </c>
      <c r="J22" s="29"/>
      <c r="K22" s="30">
        <v>369</v>
      </c>
      <c r="L22" s="30">
        <v>369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577</v>
      </c>
      <c r="I23" s="30">
        <v>577</v>
      </c>
      <c r="J23" s="29"/>
      <c r="K23" s="30">
        <v>570</v>
      </c>
      <c r="L23" s="30">
        <v>570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607</v>
      </c>
      <c r="I24" s="30">
        <v>607</v>
      </c>
      <c r="J24" s="29"/>
      <c r="K24" s="30">
        <v>571</v>
      </c>
      <c r="L24" s="30">
        <v>571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505</v>
      </c>
      <c r="I25" s="30">
        <v>505</v>
      </c>
      <c r="J25" s="29"/>
      <c r="K25" s="30">
        <v>591</v>
      </c>
      <c r="L25" s="30">
        <v>591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30">
        <v>564</v>
      </c>
      <c r="F26" s="30">
        <v>564</v>
      </c>
      <c r="G26" s="29"/>
      <c r="H26" s="30">
        <v>546</v>
      </c>
      <c r="I26" s="30">
        <v>546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684</v>
      </c>
      <c r="F27" s="30">
        <v>684</v>
      </c>
      <c r="G27" s="29"/>
      <c r="H27" s="30">
        <v>664</v>
      </c>
      <c r="I27" s="30">
        <v>664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698</v>
      </c>
      <c r="F28" s="30">
        <v>698</v>
      </c>
      <c r="G28" s="29"/>
      <c r="H28" s="30">
        <v>622</v>
      </c>
      <c r="I28" s="30">
        <v>622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739</v>
      </c>
      <c r="F29" s="30">
        <v>739</v>
      </c>
      <c r="G29" s="29"/>
      <c r="H29" s="30">
        <v>713</v>
      </c>
      <c r="I29" s="30">
        <v>713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780</v>
      </c>
      <c r="F30" s="30">
        <v>780</v>
      </c>
      <c r="G30" s="29"/>
      <c r="H30" s="30">
        <v>869</v>
      </c>
      <c r="I30" s="30">
        <v>869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1">
        <v>1074</v>
      </c>
      <c r="F31" s="31">
        <v>1074</v>
      </c>
      <c r="G31" s="29"/>
      <c r="H31" s="31">
        <v>1075</v>
      </c>
      <c r="I31" s="31">
        <v>1075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1">
        <v>1028</v>
      </c>
      <c r="F32" s="31">
        <v>1028</v>
      </c>
      <c r="G32" s="29"/>
      <c r="H32" s="31">
        <v>1060</v>
      </c>
      <c r="I32" s="31">
        <v>1060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1">
        <v>1106</v>
      </c>
      <c r="F33" s="31">
        <v>1106</v>
      </c>
      <c r="G33" s="29"/>
      <c r="H33" s="31">
        <v>1068</v>
      </c>
      <c r="I33" s="31">
        <v>1068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844</v>
      </c>
      <c r="F34" s="30">
        <v>844</v>
      </c>
      <c r="G34" s="29"/>
      <c r="H34" s="30">
        <v>840</v>
      </c>
      <c r="I34" s="30">
        <v>840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586</v>
      </c>
      <c r="F35" s="30">
        <v>586</v>
      </c>
      <c r="G35" s="29"/>
      <c r="H35" s="30">
        <v>677</v>
      </c>
      <c r="I35" s="30">
        <v>677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501</v>
      </c>
      <c r="F36" s="30">
        <v>501</v>
      </c>
      <c r="G36" s="29"/>
      <c r="H36" s="30">
        <v>532</v>
      </c>
      <c r="I36" s="30">
        <v>532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365</v>
      </c>
      <c r="F37" s="30">
        <v>365</v>
      </c>
      <c r="G37" s="29"/>
      <c r="H37" s="30">
        <v>379</v>
      </c>
      <c r="I37" s="30">
        <v>379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197</v>
      </c>
      <c r="F38" s="30">
        <v>197</v>
      </c>
      <c r="G38" s="29"/>
      <c r="H38" s="30">
        <v>276</v>
      </c>
      <c r="I38" s="30">
        <v>276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157</v>
      </c>
      <c r="F39" s="30">
        <v>157</v>
      </c>
      <c r="G39" s="29"/>
      <c r="H39" s="30">
        <v>188</v>
      </c>
      <c r="I39" s="30">
        <v>188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9323</v>
      </c>
      <c r="F40" s="31">
        <v>9323</v>
      </c>
      <c r="G40" s="29"/>
      <c r="H40" s="31">
        <v>12048</v>
      </c>
      <c r="I40" s="31">
        <v>12048</v>
      </c>
      <c r="J40" s="29"/>
      <c r="K40" s="31">
        <v>2625</v>
      </c>
      <c r="L40" s="31">
        <v>2625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664</v>
      </c>
      <c r="I41" s="30">
        <v>664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0.95</v>
      </c>
      <c r="I42" s="33">
        <v>0.95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93</v>
      </c>
      <c r="I43" s="34" t="s">
        <v>93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1">
        <v>1113</v>
      </c>
      <c r="F44" s="31">
        <v>1113</v>
      </c>
      <c r="G44" s="29"/>
      <c r="H44" s="31">
        <v>1094</v>
      </c>
      <c r="I44" s="31">
        <v>1094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0.93</v>
      </c>
      <c r="F45" s="33">
        <v>0.93</v>
      </c>
      <c r="G45" s="29"/>
      <c r="H45" s="33">
        <v>0.92</v>
      </c>
      <c r="I45" s="33">
        <v>0.92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124</v>
      </c>
      <c r="F46" s="34" t="s">
        <v>124</v>
      </c>
      <c r="G46" s="29"/>
      <c r="H46" s="34" t="s">
        <v>124</v>
      </c>
      <c r="I46" s="34" t="s">
        <v>124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35">
        <v>0.97599999999999998</v>
      </c>
      <c r="G47" s="29"/>
      <c r="H47" s="35">
        <v>0.97599999999999998</v>
      </c>
      <c r="I47" s="35">
        <v>0.97599999999999998</v>
      </c>
      <c r="J47" s="29"/>
      <c r="K47" s="35">
        <v>0.97599999999999998</v>
      </c>
      <c r="L47" s="35">
        <v>0.97599999999999998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35">
        <v>0.96599999999999997</v>
      </c>
      <c r="G48" s="29"/>
      <c r="H48" s="35">
        <v>0.93200000000000005</v>
      </c>
      <c r="I48" s="35">
        <v>0.93200000000000005</v>
      </c>
      <c r="J48" s="29"/>
      <c r="K48" s="35">
        <v>0.93300000000000005</v>
      </c>
      <c r="L48" s="35">
        <v>0.93300000000000005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0.47</v>
      </c>
      <c r="F49" s="35">
        <v>0.47</v>
      </c>
      <c r="G49" s="29"/>
      <c r="H49" s="35">
        <v>0.47</v>
      </c>
      <c r="I49" s="35">
        <v>0.47</v>
      </c>
      <c r="J49" s="29"/>
      <c r="K49" s="35">
        <v>0.47</v>
      </c>
      <c r="L49" s="35">
        <v>0.47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35">
        <v>2</v>
      </c>
      <c r="G50" s="29"/>
      <c r="H50" s="35">
        <v>2</v>
      </c>
      <c r="I50" s="35">
        <v>2</v>
      </c>
      <c r="J50" s="29"/>
      <c r="K50" s="35">
        <v>2</v>
      </c>
      <c r="L50" s="35">
        <v>2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125</v>
      </c>
    </row>
    <row r="53" spans="1:22" ht="11.45" customHeight="1" x14ac:dyDescent="0.25">
      <c r="A53" s="24" t="s">
        <v>126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7" workbookViewId="0">
      <selection activeCell="H46" sqref="H46"/>
    </sheetView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108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109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110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111</v>
      </c>
      <c r="C14" s="169"/>
      <c r="D14" s="170"/>
      <c r="E14" s="168" t="s">
        <v>112</v>
      </c>
      <c r="F14" s="169"/>
      <c r="G14" s="170"/>
      <c r="H14" s="168" t="s">
        <v>113</v>
      </c>
      <c r="I14" s="169"/>
      <c r="J14" s="170"/>
      <c r="K14" s="168" t="s">
        <v>114</v>
      </c>
      <c r="L14" s="169"/>
      <c r="M14" s="170"/>
      <c r="N14" s="168" t="s">
        <v>115</v>
      </c>
      <c r="O14" s="169"/>
      <c r="P14" s="170"/>
      <c r="Q14" s="168" t="s">
        <v>116</v>
      </c>
      <c r="R14" s="169"/>
      <c r="S14" s="170"/>
      <c r="T14" s="168" t="s">
        <v>117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105</v>
      </c>
      <c r="I16" s="30">
        <v>105</v>
      </c>
      <c r="J16" s="29"/>
      <c r="K16" s="30">
        <v>125</v>
      </c>
      <c r="L16" s="30">
        <v>125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98</v>
      </c>
      <c r="I17" s="30">
        <v>98</v>
      </c>
      <c r="J17" s="29"/>
      <c r="K17" s="30">
        <v>56</v>
      </c>
      <c r="L17" s="30">
        <v>56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44</v>
      </c>
      <c r="I18" s="30">
        <v>44</v>
      </c>
      <c r="J18" s="29"/>
      <c r="K18" s="30">
        <v>42</v>
      </c>
      <c r="L18" s="30">
        <v>42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57</v>
      </c>
      <c r="I19" s="30">
        <v>57</v>
      </c>
      <c r="J19" s="29"/>
      <c r="K19" s="30">
        <v>58</v>
      </c>
      <c r="L19" s="30">
        <v>58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72</v>
      </c>
      <c r="I20" s="30">
        <v>72</v>
      </c>
      <c r="J20" s="29"/>
      <c r="K20" s="30">
        <v>64</v>
      </c>
      <c r="L20" s="30">
        <v>64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157</v>
      </c>
      <c r="I21" s="30">
        <v>157</v>
      </c>
      <c r="J21" s="29"/>
      <c r="K21" s="30">
        <v>127</v>
      </c>
      <c r="L21" s="30">
        <v>127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292</v>
      </c>
      <c r="I22" s="30">
        <v>292</v>
      </c>
      <c r="J22" s="29"/>
      <c r="K22" s="30">
        <v>283</v>
      </c>
      <c r="L22" s="30">
        <v>283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532</v>
      </c>
      <c r="I23" s="30">
        <v>532</v>
      </c>
      <c r="J23" s="29"/>
      <c r="K23" s="30">
        <v>481</v>
      </c>
      <c r="L23" s="30">
        <v>481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611</v>
      </c>
      <c r="I24" s="30">
        <v>611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582</v>
      </c>
      <c r="I25" s="30">
        <v>582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30">
        <v>650</v>
      </c>
      <c r="F26" s="30">
        <v>650</v>
      </c>
      <c r="G26" s="29"/>
      <c r="H26" s="30">
        <v>650</v>
      </c>
      <c r="I26" s="30">
        <v>650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739</v>
      </c>
      <c r="F27" s="30">
        <v>739</v>
      </c>
      <c r="G27" s="29"/>
      <c r="H27" s="30">
        <v>733</v>
      </c>
      <c r="I27" s="30">
        <v>733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817</v>
      </c>
      <c r="F28" s="30">
        <v>817</v>
      </c>
      <c r="G28" s="29"/>
      <c r="H28" s="30">
        <v>855</v>
      </c>
      <c r="I28" s="30">
        <v>855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827</v>
      </c>
      <c r="F29" s="30">
        <v>827</v>
      </c>
      <c r="G29" s="29"/>
      <c r="H29" s="30">
        <v>853</v>
      </c>
      <c r="I29" s="30">
        <v>853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938</v>
      </c>
      <c r="F30" s="30">
        <v>938</v>
      </c>
      <c r="G30" s="29"/>
      <c r="H30" s="30">
        <v>976</v>
      </c>
      <c r="I30" s="30">
        <v>976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965</v>
      </c>
      <c r="F31" s="30">
        <v>965</v>
      </c>
      <c r="G31" s="29"/>
      <c r="H31" s="31">
        <v>1215</v>
      </c>
      <c r="I31" s="31">
        <v>1215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1">
        <v>1150</v>
      </c>
      <c r="F32" s="31">
        <v>1150</v>
      </c>
      <c r="G32" s="29"/>
      <c r="H32" s="31">
        <v>1211</v>
      </c>
      <c r="I32" s="31">
        <v>1211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1">
        <v>1249</v>
      </c>
      <c r="F33" s="31">
        <v>1249</v>
      </c>
      <c r="G33" s="29"/>
      <c r="H33" s="31">
        <v>1375</v>
      </c>
      <c r="I33" s="31">
        <v>1375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1">
        <v>1079</v>
      </c>
      <c r="F34" s="31">
        <v>1079</v>
      </c>
      <c r="G34" s="29"/>
      <c r="H34" s="31">
        <v>1052</v>
      </c>
      <c r="I34" s="31">
        <v>1052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641</v>
      </c>
      <c r="F35" s="30">
        <v>641</v>
      </c>
      <c r="G35" s="29"/>
      <c r="H35" s="30">
        <v>719</v>
      </c>
      <c r="I35" s="30">
        <v>719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495</v>
      </c>
      <c r="F36" s="30">
        <v>495</v>
      </c>
      <c r="G36" s="29"/>
      <c r="H36" s="30">
        <v>539</v>
      </c>
      <c r="I36" s="30">
        <v>539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360</v>
      </c>
      <c r="F37" s="30">
        <v>360</v>
      </c>
      <c r="G37" s="29"/>
      <c r="H37" s="30">
        <v>431</v>
      </c>
      <c r="I37" s="30">
        <v>431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210</v>
      </c>
      <c r="F38" s="30">
        <v>210</v>
      </c>
      <c r="G38" s="29"/>
      <c r="H38" s="30">
        <v>264</v>
      </c>
      <c r="I38" s="30">
        <v>264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173</v>
      </c>
      <c r="F39" s="30">
        <v>173</v>
      </c>
      <c r="G39" s="29"/>
      <c r="H39" s="30">
        <v>175</v>
      </c>
      <c r="I39" s="30">
        <v>175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10293</v>
      </c>
      <c r="F40" s="31">
        <v>10293</v>
      </c>
      <c r="G40" s="29"/>
      <c r="H40" s="31">
        <v>13598</v>
      </c>
      <c r="I40" s="31">
        <v>13598</v>
      </c>
      <c r="J40" s="29"/>
      <c r="K40" s="31">
        <v>1236</v>
      </c>
      <c r="L40" s="31">
        <v>1236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733</v>
      </c>
      <c r="I41" s="30">
        <v>733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0.93</v>
      </c>
      <c r="I42" s="33">
        <v>0.93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93</v>
      </c>
      <c r="I43" s="34" t="s">
        <v>93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1">
        <v>1260</v>
      </c>
      <c r="F44" s="31">
        <v>1260</v>
      </c>
      <c r="G44" s="29"/>
      <c r="H44" s="31">
        <v>1375</v>
      </c>
      <c r="I44" s="31">
        <v>1375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0.9</v>
      </c>
      <c r="F45" s="33">
        <v>0.9</v>
      </c>
      <c r="G45" s="29"/>
      <c r="H45" s="33">
        <v>0.92</v>
      </c>
      <c r="I45" s="33">
        <v>0.92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118</v>
      </c>
      <c r="F46" s="34" t="s">
        <v>118</v>
      </c>
      <c r="G46" s="29"/>
      <c r="H46" s="34" t="s">
        <v>119</v>
      </c>
      <c r="I46" s="34" t="s">
        <v>119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1.0049999999999999</v>
      </c>
      <c r="F47" s="35">
        <v>1.0049999999999999</v>
      </c>
      <c r="G47" s="29"/>
      <c r="H47" s="35">
        <v>1.0049999999999999</v>
      </c>
      <c r="I47" s="35">
        <v>1.0049999999999999</v>
      </c>
      <c r="J47" s="29"/>
      <c r="K47" s="35">
        <v>1.0049999999999999</v>
      </c>
      <c r="L47" s="35">
        <v>1.0049999999999999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0.98099999999999998</v>
      </c>
      <c r="F48" s="35">
        <v>0.98099999999999998</v>
      </c>
      <c r="G48" s="29"/>
      <c r="H48" s="35">
        <v>0.94499999999999995</v>
      </c>
      <c r="I48" s="35">
        <v>0.94499999999999995</v>
      </c>
      <c r="J48" s="29"/>
      <c r="K48" s="35">
        <v>0.92400000000000004</v>
      </c>
      <c r="L48" s="35">
        <v>0.92400000000000004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0.47</v>
      </c>
      <c r="F49" s="35">
        <v>0.47</v>
      </c>
      <c r="G49" s="29"/>
      <c r="H49" s="35">
        <v>0.47</v>
      </c>
      <c r="I49" s="35">
        <v>0.47</v>
      </c>
      <c r="J49" s="29"/>
      <c r="K49" s="35">
        <v>0.47</v>
      </c>
      <c r="L49" s="35">
        <v>0.47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35">
        <v>2</v>
      </c>
      <c r="G50" s="29"/>
      <c r="H50" s="35">
        <v>2</v>
      </c>
      <c r="I50" s="35">
        <v>2</v>
      </c>
      <c r="J50" s="29"/>
      <c r="K50" s="35">
        <v>2</v>
      </c>
      <c r="L50" s="35">
        <v>2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120</v>
      </c>
    </row>
    <row r="53" spans="1:22" ht="11.45" customHeight="1" x14ac:dyDescent="0.25">
      <c r="A53" s="24" t="s">
        <v>121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127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128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14</v>
      </c>
      <c r="I16" s="29"/>
      <c r="J16" s="30">
        <v>14</v>
      </c>
      <c r="K16" s="30">
        <v>23</v>
      </c>
      <c r="L16" s="29"/>
      <c r="M16" s="30">
        <v>23</v>
      </c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12</v>
      </c>
      <c r="I17" s="29"/>
      <c r="J17" s="30">
        <v>12</v>
      </c>
      <c r="K17" s="30">
        <v>12</v>
      </c>
      <c r="L17" s="29"/>
      <c r="M17" s="30">
        <v>12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8</v>
      </c>
      <c r="I18" s="29"/>
      <c r="J18" s="30">
        <v>8</v>
      </c>
      <c r="K18" s="30">
        <v>11</v>
      </c>
      <c r="L18" s="29"/>
      <c r="M18" s="30">
        <v>11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14</v>
      </c>
      <c r="I19" s="29"/>
      <c r="J19" s="30">
        <v>14</v>
      </c>
      <c r="K19" s="30">
        <v>10</v>
      </c>
      <c r="L19" s="29"/>
      <c r="M19" s="30">
        <v>10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35</v>
      </c>
      <c r="I20" s="29"/>
      <c r="J20" s="30">
        <v>35</v>
      </c>
      <c r="K20" s="30">
        <v>38</v>
      </c>
      <c r="L20" s="29"/>
      <c r="M20" s="30">
        <v>38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81</v>
      </c>
      <c r="I21" s="29"/>
      <c r="J21" s="30">
        <v>81</v>
      </c>
      <c r="K21" s="30">
        <v>90</v>
      </c>
      <c r="L21" s="29"/>
      <c r="M21" s="30">
        <v>90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191</v>
      </c>
      <c r="I22" s="29"/>
      <c r="J22" s="30">
        <v>191</v>
      </c>
      <c r="K22" s="30">
        <v>202</v>
      </c>
      <c r="L22" s="29"/>
      <c r="M22" s="30">
        <v>202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260</v>
      </c>
      <c r="I23" s="29"/>
      <c r="J23" s="30">
        <v>260</v>
      </c>
      <c r="K23" s="30">
        <v>264</v>
      </c>
      <c r="L23" s="29"/>
      <c r="M23" s="30">
        <v>264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247</v>
      </c>
      <c r="I24" s="29"/>
      <c r="J24" s="30">
        <v>247</v>
      </c>
      <c r="K24" s="30">
        <v>254</v>
      </c>
      <c r="L24" s="29"/>
      <c r="M24" s="30">
        <v>254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219</v>
      </c>
      <c r="I25" s="29"/>
      <c r="J25" s="30">
        <v>219</v>
      </c>
      <c r="K25" s="30">
        <v>215</v>
      </c>
      <c r="L25" s="29"/>
      <c r="M25" s="30">
        <v>215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0">
        <v>222</v>
      </c>
      <c r="I26" s="29"/>
      <c r="J26" s="30">
        <v>222</v>
      </c>
      <c r="K26" s="30">
        <v>220</v>
      </c>
      <c r="L26" s="29"/>
      <c r="M26" s="30">
        <v>220</v>
      </c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29"/>
      <c r="F27" s="29"/>
      <c r="G27" s="29"/>
      <c r="H27" s="30">
        <v>236</v>
      </c>
      <c r="I27" s="29"/>
      <c r="J27" s="30">
        <v>236</v>
      </c>
      <c r="K27" s="30">
        <v>225</v>
      </c>
      <c r="L27" s="29"/>
      <c r="M27" s="30">
        <v>225</v>
      </c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263</v>
      </c>
      <c r="F28" s="29"/>
      <c r="G28" s="30">
        <v>263</v>
      </c>
      <c r="H28" s="30">
        <v>250</v>
      </c>
      <c r="I28" s="29"/>
      <c r="J28" s="30">
        <v>250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206</v>
      </c>
      <c r="F29" s="29"/>
      <c r="G29" s="30">
        <v>206</v>
      </c>
      <c r="H29" s="30">
        <v>212</v>
      </c>
      <c r="I29" s="29"/>
      <c r="J29" s="30">
        <v>212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217</v>
      </c>
      <c r="F30" s="29"/>
      <c r="G30" s="30">
        <v>217</v>
      </c>
      <c r="H30" s="30">
        <v>208</v>
      </c>
      <c r="I30" s="29"/>
      <c r="J30" s="30">
        <v>208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237</v>
      </c>
      <c r="F31" s="29"/>
      <c r="G31" s="30">
        <v>237</v>
      </c>
      <c r="H31" s="30">
        <v>238</v>
      </c>
      <c r="I31" s="29"/>
      <c r="J31" s="30">
        <v>238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225</v>
      </c>
      <c r="F32" s="29"/>
      <c r="G32" s="30">
        <v>225</v>
      </c>
      <c r="H32" s="30">
        <v>197</v>
      </c>
      <c r="I32" s="29"/>
      <c r="J32" s="30">
        <v>197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263</v>
      </c>
      <c r="F33" s="29"/>
      <c r="G33" s="30">
        <v>263</v>
      </c>
      <c r="H33" s="30">
        <v>248</v>
      </c>
      <c r="I33" s="29"/>
      <c r="J33" s="30">
        <v>248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231</v>
      </c>
      <c r="F34" s="29"/>
      <c r="G34" s="30">
        <v>231</v>
      </c>
      <c r="H34" s="30">
        <v>201</v>
      </c>
      <c r="I34" s="29"/>
      <c r="J34" s="30">
        <v>201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124</v>
      </c>
      <c r="F35" s="29"/>
      <c r="G35" s="30">
        <v>124</v>
      </c>
      <c r="H35" s="30">
        <v>143</v>
      </c>
      <c r="I35" s="29"/>
      <c r="J35" s="30">
        <v>143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111</v>
      </c>
      <c r="F36" s="29"/>
      <c r="G36" s="30">
        <v>111</v>
      </c>
      <c r="H36" s="30">
        <v>100</v>
      </c>
      <c r="I36" s="29"/>
      <c r="J36" s="30">
        <v>100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75</v>
      </c>
      <c r="F37" s="29"/>
      <c r="G37" s="30">
        <v>75</v>
      </c>
      <c r="H37" s="30">
        <v>65</v>
      </c>
      <c r="I37" s="29"/>
      <c r="J37" s="30">
        <v>65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40</v>
      </c>
      <c r="F38" s="29"/>
      <c r="G38" s="30">
        <v>40</v>
      </c>
      <c r="H38" s="30">
        <v>38</v>
      </c>
      <c r="I38" s="29"/>
      <c r="J38" s="30">
        <v>38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41</v>
      </c>
      <c r="F39" s="29"/>
      <c r="G39" s="30">
        <v>41</v>
      </c>
      <c r="H39" s="30">
        <v>31</v>
      </c>
      <c r="I39" s="29"/>
      <c r="J39" s="30">
        <v>31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2033</v>
      </c>
      <c r="F40" s="29"/>
      <c r="G40" s="31">
        <v>2033</v>
      </c>
      <c r="H40" s="31">
        <v>3470</v>
      </c>
      <c r="I40" s="29"/>
      <c r="J40" s="31">
        <v>3470</v>
      </c>
      <c r="K40" s="31">
        <v>1564</v>
      </c>
      <c r="L40" s="29"/>
      <c r="M40" s="31">
        <v>1564</v>
      </c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265</v>
      </c>
      <c r="I41" s="29"/>
      <c r="J41" s="30">
        <v>265</v>
      </c>
      <c r="K41" s="30">
        <v>280</v>
      </c>
      <c r="L41" s="29"/>
      <c r="M41" s="30">
        <v>280</v>
      </c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0.88</v>
      </c>
      <c r="I42" s="29"/>
      <c r="J42" s="33">
        <v>0.88</v>
      </c>
      <c r="K42" s="33">
        <v>0.91</v>
      </c>
      <c r="L42" s="29"/>
      <c r="M42" s="33">
        <v>0.91</v>
      </c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129</v>
      </c>
      <c r="I43" s="29"/>
      <c r="J43" s="34" t="s">
        <v>129</v>
      </c>
      <c r="K43" s="34" t="s">
        <v>130</v>
      </c>
      <c r="L43" s="29"/>
      <c r="M43" s="34" t="s">
        <v>130</v>
      </c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0">
        <v>263</v>
      </c>
      <c r="F44" s="29"/>
      <c r="G44" s="30">
        <v>263</v>
      </c>
      <c r="H44" s="30">
        <v>250</v>
      </c>
      <c r="I44" s="29"/>
      <c r="J44" s="30">
        <v>250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0.89</v>
      </c>
      <c r="F45" s="29"/>
      <c r="G45" s="33">
        <v>0.89</v>
      </c>
      <c r="H45" s="33">
        <v>0.95</v>
      </c>
      <c r="I45" s="29"/>
      <c r="J45" s="33">
        <v>0.95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131</v>
      </c>
      <c r="F46" s="29"/>
      <c r="G46" s="34" t="s">
        <v>131</v>
      </c>
      <c r="H46" s="34" t="s">
        <v>131</v>
      </c>
      <c r="I46" s="29"/>
      <c r="J46" s="34" t="s">
        <v>131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29"/>
      <c r="G47" s="35">
        <v>0.97599999999999998</v>
      </c>
      <c r="H47" s="35">
        <v>0.97599999999999998</v>
      </c>
      <c r="I47" s="29"/>
      <c r="J47" s="35">
        <v>0.97599999999999998</v>
      </c>
      <c r="K47" s="35">
        <v>0.97599999999999998</v>
      </c>
      <c r="L47" s="29"/>
      <c r="M47" s="35">
        <v>0.97599999999999998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29"/>
      <c r="G48" s="35">
        <v>0.96599999999999997</v>
      </c>
      <c r="H48" s="35">
        <v>0.93200000000000005</v>
      </c>
      <c r="I48" s="29"/>
      <c r="J48" s="35">
        <v>0.93200000000000005</v>
      </c>
      <c r="K48" s="35">
        <v>0.93300000000000005</v>
      </c>
      <c r="L48" s="29"/>
      <c r="M48" s="35">
        <v>0.93300000000000005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29"/>
      <c r="G49" s="35">
        <v>0.5</v>
      </c>
      <c r="H49" s="35">
        <v>0.5</v>
      </c>
      <c r="I49" s="29"/>
      <c r="J49" s="35">
        <v>0.5</v>
      </c>
      <c r="K49" s="35">
        <v>0.5</v>
      </c>
      <c r="L49" s="29"/>
      <c r="M49" s="35">
        <v>0.5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29"/>
      <c r="G50" s="35">
        <v>2</v>
      </c>
      <c r="H50" s="35">
        <v>2</v>
      </c>
      <c r="I50" s="29"/>
      <c r="J50" s="35">
        <v>2</v>
      </c>
      <c r="K50" s="35">
        <v>2</v>
      </c>
      <c r="L50" s="29"/>
      <c r="M50" s="35">
        <v>2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132</v>
      </c>
    </row>
    <row r="53" spans="1:22" ht="11.45" customHeight="1" x14ac:dyDescent="0.25">
      <c r="A53" s="24" t="s">
        <v>133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134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135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136</v>
      </c>
      <c r="D15" s="27" t="s">
        <v>137</v>
      </c>
      <c r="E15" s="26" t="s">
        <v>62</v>
      </c>
      <c r="F15" s="27" t="s">
        <v>136</v>
      </c>
      <c r="G15" s="27" t="s">
        <v>137</v>
      </c>
      <c r="H15" s="26" t="s">
        <v>62</v>
      </c>
      <c r="I15" s="27" t="s">
        <v>136</v>
      </c>
      <c r="J15" s="27" t="s">
        <v>137</v>
      </c>
      <c r="K15" s="28" t="s">
        <v>62</v>
      </c>
      <c r="L15" s="27" t="s">
        <v>136</v>
      </c>
      <c r="M15" s="27" t="s">
        <v>137</v>
      </c>
      <c r="N15" s="26" t="s">
        <v>62</v>
      </c>
      <c r="O15" s="27" t="s">
        <v>136</v>
      </c>
      <c r="P15" s="27" t="s">
        <v>137</v>
      </c>
      <c r="Q15" s="26" t="s">
        <v>62</v>
      </c>
      <c r="R15" s="27" t="s">
        <v>136</v>
      </c>
      <c r="S15" s="27" t="s">
        <v>137</v>
      </c>
      <c r="T15" s="26" t="s">
        <v>62</v>
      </c>
      <c r="U15" s="27" t="s">
        <v>136</v>
      </c>
      <c r="V15" s="27" t="s">
        <v>137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16</v>
      </c>
      <c r="I16" s="29"/>
      <c r="J16" s="30">
        <v>16</v>
      </c>
      <c r="K16" s="30">
        <v>18</v>
      </c>
      <c r="L16" s="29"/>
      <c r="M16" s="30">
        <v>18</v>
      </c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6</v>
      </c>
      <c r="I17" s="29"/>
      <c r="J17" s="30">
        <v>6</v>
      </c>
      <c r="K17" s="30">
        <v>10</v>
      </c>
      <c r="L17" s="29"/>
      <c r="M17" s="30">
        <v>10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10</v>
      </c>
      <c r="I18" s="29"/>
      <c r="J18" s="30">
        <v>10</v>
      </c>
      <c r="K18" s="30">
        <v>9</v>
      </c>
      <c r="L18" s="29"/>
      <c r="M18" s="30">
        <v>9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32</v>
      </c>
      <c r="I19" s="29"/>
      <c r="J19" s="30">
        <v>32</v>
      </c>
      <c r="K19" s="30">
        <v>40</v>
      </c>
      <c r="L19" s="29"/>
      <c r="M19" s="30">
        <v>40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31</v>
      </c>
      <c r="I20" s="29"/>
      <c r="J20" s="30">
        <v>31</v>
      </c>
      <c r="K20" s="30">
        <v>26</v>
      </c>
      <c r="L20" s="29"/>
      <c r="M20" s="30">
        <v>26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66</v>
      </c>
      <c r="I21" s="29"/>
      <c r="J21" s="30">
        <v>66</v>
      </c>
      <c r="K21" s="30">
        <v>66</v>
      </c>
      <c r="L21" s="29"/>
      <c r="M21" s="30">
        <v>66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122</v>
      </c>
      <c r="I22" s="29"/>
      <c r="J22" s="30">
        <v>122</v>
      </c>
      <c r="K22" s="30">
        <v>94</v>
      </c>
      <c r="L22" s="29"/>
      <c r="M22" s="30">
        <v>94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150</v>
      </c>
      <c r="I23" s="29"/>
      <c r="J23" s="30">
        <v>150</v>
      </c>
      <c r="K23" s="30">
        <v>155</v>
      </c>
      <c r="L23" s="29"/>
      <c r="M23" s="30">
        <v>155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153</v>
      </c>
      <c r="I24" s="29"/>
      <c r="J24" s="30">
        <v>153</v>
      </c>
      <c r="K24" s="30">
        <v>134</v>
      </c>
      <c r="L24" s="29"/>
      <c r="M24" s="30">
        <v>134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219</v>
      </c>
      <c r="I25" s="29"/>
      <c r="J25" s="30">
        <v>219</v>
      </c>
      <c r="K25" s="30">
        <v>120</v>
      </c>
      <c r="L25" s="29"/>
      <c r="M25" s="30">
        <v>120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0">
        <v>123</v>
      </c>
      <c r="I26" s="29"/>
      <c r="J26" s="30">
        <v>123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110</v>
      </c>
      <c r="F27" s="29"/>
      <c r="G27" s="30">
        <v>110</v>
      </c>
      <c r="H27" s="30">
        <v>108</v>
      </c>
      <c r="I27" s="29"/>
      <c r="J27" s="30">
        <v>108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129</v>
      </c>
      <c r="F28" s="29"/>
      <c r="G28" s="30">
        <v>129</v>
      </c>
      <c r="H28" s="30">
        <v>136</v>
      </c>
      <c r="I28" s="29"/>
      <c r="J28" s="30">
        <v>136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125</v>
      </c>
      <c r="F29" s="29"/>
      <c r="G29" s="30">
        <v>125</v>
      </c>
      <c r="H29" s="30">
        <v>134</v>
      </c>
      <c r="I29" s="29"/>
      <c r="J29" s="30">
        <v>134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113</v>
      </c>
      <c r="F30" s="29"/>
      <c r="G30" s="30">
        <v>113</v>
      </c>
      <c r="H30" s="30">
        <v>112</v>
      </c>
      <c r="I30" s="29"/>
      <c r="J30" s="30">
        <v>112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148</v>
      </c>
      <c r="F31" s="29"/>
      <c r="G31" s="30">
        <v>148</v>
      </c>
      <c r="H31" s="30">
        <v>146</v>
      </c>
      <c r="I31" s="29"/>
      <c r="J31" s="30">
        <v>146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183</v>
      </c>
      <c r="F32" s="29"/>
      <c r="G32" s="30">
        <v>183</v>
      </c>
      <c r="H32" s="30">
        <v>158</v>
      </c>
      <c r="I32" s="29"/>
      <c r="J32" s="30">
        <v>158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210</v>
      </c>
      <c r="F33" s="29"/>
      <c r="G33" s="30">
        <v>210</v>
      </c>
      <c r="H33" s="30">
        <v>226</v>
      </c>
      <c r="I33" s="29"/>
      <c r="J33" s="30">
        <v>226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143</v>
      </c>
      <c r="F34" s="29"/>
      <c r="G34" s="30">
        <v>143</v>
      </c>
      <c r="H34" s="30">
        <v>136</v>
      </c>
      <c r="I34" s="29"/>
      <c r="J34" s="30">
        <v>136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117</v>
      </c>
      <c r="F35" s="29"/>
      <c r="G35" s="30">
        <v>117</v>
      </c>
      <c r="H35" s="30">
        <v>101</v>
      </c>
      <c r="I35" s="29"/>
      <c r="J35" s="30">
        <v>101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87</v>
      </c>
      <c r="F36" s="29"/>
      <c r="G36" s="30">
        <v>87</v>
      </c>
      <c r="H36" s="30">
        <v>91</v>
      </c>
      <c r="I36" s="29"/>
      <c r="J36" s="30">
        <v>91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55</v>
      </c>
      <c r="F37" s="29"/>
      <c r="G37" s="30">
        <v>55</v>
      </c>
      <c r="H37" s="30">
        <v>52</v>
      </c>
      <c r="I37" s="29"/>
      <c r="J37" s="30">
        <v>52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36</v>
      </c>
      <c r="F38" s="29"/>
      <c r="G38" s="30">
        <v>36</v>
      </c>
      <c r="H38" s="30">
        <v>29</v>
      </c>
      <c r="I38" s="29"/>
      <c r="J38" s="30">
        <v>29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17</v>
      </c>
      <c r="F39" s="29"/>
      <c r="G39" s="30">
        <v>17</v>
      </c>
      <c r="H39" s="30">
        <v>21</v>
      </c>
      <c r="I39" s="29"/>
      <c r="J39" s="30">
        <v>21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1473</v>
      </c>
      <c r="F40" s="29"/>
      <c r="G40" s="31">
        <v>1473</v>
      </c>
      <c r="H40" s="31">
        <v>2378</v>
      </c>
      <c r="I40" s="29"/>
      <c r="J40" s="31">
        <v>2378</v>
      </c>
      <c r="K40" s="30">
        <v>672</v>
      </c>
      <c r="L40" s="29"/>
      <c r="M40" s="30">
        <v>672</v>
      </c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234</v>
      </c>
      <c r="I41" s="29"/>
      <c r="J41" s="30">
        <v>234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0.8</v>
      </c>
      <c r="I42" s="29"/>
      <c r="J42" s="33">
        <v>0.8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138</v>
      </c>
      <c r="I43" s="29"/>
      <c r="J43" s="34" t="s">
        <v>138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0">
        <v>215</v>
      </c>
      <c r="F44" s="29"/>
      <c r="G44" s="30">
        <v>215</v>
      </c>
      <c r="H44" s="30">
        <v>226</v>
      </c>
      <c r="I44" s="29"/>
      <c r="J44" s="30">
        <v>226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0.85</v>
      </c>
      <c r="F45" s="29"/>
      <c r="G45" s="33">
        <v>0.85</v>
      </c>
      <c r="H45" s="33">
        <v>0.84</v>
      </c>
      <c r="I45" s="29"/>
      <c r="J45" s="33">
        <v>0.84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124</v>
      </c>
      <c r="F46" s="29"/>
      <c r="G46" s="34" t="s">
        <v>124</v>
      </c>
      <c r="H46" s="34" t="s">
        <v>119</v>
      </c>
      <c r="I46" s="29"/>
      <c r="J46" s="34" t="s">
        <v>119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29"/>
      <c r="G47" s="35">
        <v>0.97599999999999998</v>
      </c>
      <c r="H47" s="35">
        <v>0.97599999999999998</v>
      </c>
      <c r="I47" s="29"/>
      <c r="J47" s="35">
        <v>0.97599999999999998</v>
      </c>
      <c r="K47" s="35">
        <v>0.97599999999999998</v>
      </c>
      <c r="L47" s="29"/>
      <c r="M47" s="35">
        <v>0.97599999999999998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29"/>
      <c r="G48" s="35">
        <v>0.96599999999999997</v>
      </c>
      <c r="H48" s="35">
        <v>0.93200000000000005</v>
      </c>
      <c r="I48" s="29"/>
      <c r="J48" s="35">
        <v>0.93200000000000005</v>
      </c>
      <c r="K48" s="35">
        <v>0.93300000000000005</v>
      </c>
      <c r="L48" s="29"/>
      <c r="M48" s="35">
        <v>0.93300000000000005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29"/>
      <c r="G49" s="35">
        <v>0.5</v>
      </c>
      <c r="H49" s="35">
        <v>0.5</v>
      </c>
      <c r="I49" s="29"/>
      <c r="J49" s="35">
        <v>0.5</v>
      </c>
      <c r="K49" s="35">
        <v>0.5</v>
      </c>
      <c r="L49" s="29"/>
      <c r="M49" s="35">
        <v>0.5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29"/>
      <c r="G50" s="35">
        <v>2</v>
      </c>
      <c r="H50" s="35">
        <v>2</v>
      </c>
      <c r="I50" s="29"/>
      <c r="J50" s="35">
        <v>2</v>
      </c>
      <c r="K50" s="35">
        <v>2</v>
      </c>
      <c r="L50" s="29"/>
      <c r="M50" s="35">
        <v>2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139</v>
      </c>
    </row>
    <row r="53" spans="1:22" ht="11.45" customHeight="1" x14ac:dyDescent="0.25">
      <c r="A53" s="24" t="s">
        <v>140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141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109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142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111</v>
      </c>
      <c r="C14" s="169"/>
      <c r="D14" s="170"/>
      <c r="E14" s="168" t="s">
        <v>112</v>
      </c>
      <c r="F14" s="169"/>
      <c r="G14" s="170"/>
      <c r="H14" s="168" t="s">
        <v>113</v>
      </c>
      <c r="I14" s="169"/>
      <c r="J14" s="170"/>
      <c r="K14" s="168" t="s">
        <v>114</v>
      </c>
      <c r="L14" s="169"/>
      <c r="M14" s="170"/>
      <c r="N14" s="168" t="s">
        <v>115</v>
      </c>
      <c r="O14" s="169"/>
      <c r="P14" s="170"/>
      <c r="Q14" s="168" t="s">
        <v>116</v>
      </c>
      <c r="R14" s="169"/>
      <c r="S14" s="170"/>
      <c r="T14" s="168" t="s">
        <v>117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136</v>
      </c>
      <c r="D15" s="27" t="s">
        <v>137</v>
      </c>
      <c r="E15" s="26" t="s">
        <v>62</v>
      </c>
      <c r="F15" s="27" t="s">
        <v>136</v>
      </c>
      <c r="G15" s="27" t="s">
        <v>137</v>
      </c>
      <c r="H15" s="26" t="s">
        <v>62</v>
      </c>
      <c r="I15" s="27" t="s">
        <v>136</v>
      </c>
      <c r="J15" s="27" t="s">
        <v>137</v>
      </c>
      <c r="K15" s="28" t="s">
        <v>62</v>
      </c>
      <c r="L15" s="27" t="s">
        <v>136</v>
      </c>
      <c r="M15" s="27" t="s">
        <v>137</v>
      </c>
      <c r="N15" s="26" t="s">
        <v>62</v>
      </c>
      <c r="O15" s="27" t="s">
        <v>136</v>
      </c>
      <c r="P15" s="27" t="s">
        <v>137</v>
      </c>
      <c r="Q15" s="26" t="s">
        <v>62</v>
      </c>
      <c r="R15" s="27" t="s">
        <v>136</v>
      </c>
      <c r="S15" s="27" t="s">
        <v>137</v>
      </c>
      <c r="T15" s="26" t="s">
        <v>62</v>
      </c>
      <c r="U15" s="27" t="s">
        <v>136</v>
      </c>
      <c r="V15" s="27" t="s">
        <v>137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21</v>
      </c>
      <c r="I16" s="29"/>
      <c r="J16" s="30">
        <v>21</v>
      </c>
      <c r="K16" s="30">
        <v>23</v>
      </c>
      <c r="L16" s="29"/>
      <c r="M16" s="30">
        <v>23</v>
      </c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18</v>
      </c>
      <c r="I17" s="29"/>
      <c r="J17" s="30">
        <v>18</v>
      </c>
      <c r="K17" s="30">
        <v>16</v>
      </c>
      <c r="L17" s="29"/>
      <c r="M17" s="30">
        <v>16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13</v>
      </c>
      <c r="I18" s="29"/>
      <c r="J18" s="30">
        <v>13</v>
      </c>
      <c r="K18" s="30">
        <v>14</v>
      </c>
      <c r="L18" s="29"/>
      <c r="M18" s="30">
        <v>14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8</v>
      </c>
      <c r="I19" s="29"/>
      <c r="J19" s="30">
        <v>8</v>
      </c>
      <c r="K19" s="30">
        <v>14</v>
      </c>
      <c r="L19" s="29"/>
      <c r="M19" s="30">
        <v>14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24</v>
      </c>
      <c r="I20" s="29"/>
      <c r="J20" s="30">
        <v>24</v>
      </c>
      <c r="K20" s="30">
        <v>26</v>
      </c>
      <c r="L20" s="29"/>
      <c r="M20" s="30">
        <v>26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48</v>
      </c>
      <c r="I21" s="29"/>
      <c r="J21" s="30">
        <v>48</v>
      </c>
      <c r="K21" s="30">
        <v>43</v>
      </c>
      <c r="L21" s="29"/>
      <c r="M21" s="30">
        <v>43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113</v>
      </c>
      <c r="I22" s="29"/>
      <c r="J22" s="30">
        <v>113</v>
      </c>
      <c r="K22" s="30">
        <v>104</v>
      </c>
      <c r="L22" s="29"/>
      <c r="M22" s="30">
        <v>104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171</v>
      </c>
      <c r="I23" s="29"/>
      <c r="J23" s="30">
        <v>171</v>
      </c>
      <c r="K23" s="30">
        <v>146</v>
      </c>
      <c r="L23" s="29"/>
      <c r="M23" s="30">
        <v>146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152</v>
      </c>
      <c r="I24" s="29"/>
      <c r="J24" s="30">
        <v>152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163</v>
      </c>
      <c r="I25" s="29"/>
      <c r="J25" s="30">
        <v>163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30">
        <v>198</v>
      </c>
      <c r="F26" s="29"/>
      <c r="G26" s="30">
        <v>198</v>
      </c>
      <c r="H26" s="30">
        <v>200</v>
      </c>
      <c r="I26" s="29"/>
      <c r="J26" s="30">
        <v>200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245</v>
      </c>
      <c r="F27" s="29"/>
      <c r="G27" s="30">
        <v>245</v>
      </c>
      <c r="H27" s="30">
        <v>212</v>
      </c>
      <c r="I27" s="29"/>
      <c r="J27" s="30">
        <v>212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284</v>
      </c>
      <c r="F28" s="29"/>
      <c r="G28" s="30">
        <v>284</v>
      </c>
      <c r="H28" s="30">
        <v>228</v>
      </c>
      <c r="I28" s="29"/>
      <c r="J28" s="30">
        <v>228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263</v>
      </c>
      <c r="F29" s="29"/>
      <c r="G29" s="30">
        <v>263</v>
      </c>
      <c r="H29" s="30">
        <v>298</v>
      </c>
      <c r="I29" s="29"/>
      <c r="J29" s="30">
        <v>298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305</v>
      </c>
      <c r="F30" s="29"/>
      <c r="G30" s="30">
        <v>305</v>
      </c>
      <c r="H30" s="30">
        <v>324</v>
      </c>
      <c r="I30" s="29"/>
      <c r="J30" s="30">
        <v>324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328</v>
      </c>
      <c r="F31" s="29"/>
      <c r="G31" s="30">
        <v>328</v>
      </c>
      <c r="H31" s="30">
        <v>296</v>
      </c>
      <c r="I31" s="29"/>
      <c r="J31" s="30">
        <v>296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381</v>
      </c>
      <c r="F32" s="29"/>
      <c r="G32" s="30">
        <v>381</v>
      </c>
      <c r="H32" s="30">
        <v>391</v>
      </c>
      <c r="I32" s="29"/>
      <c r="J32" s="30">
        <v>391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377</v>
      </c>
      <c r="F33" s="29"/>
      <c r="G33" s="30">
        <v>377</v>
      </c>
      <c r="H33" s="30">
        <v>337</v>
      </c>
      <c r="I33" s="29"/>
      <c r="J33" s="30">
        <v>337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287</v>
      </c>
      <c r="F34" s="29"/>
      <c r="G34" s="30">
        <v>287</v>
      </c>
      <c r="H34" s="30">
        <v>311</v>
      </c>
      <c r="I34" s="29"/>
      <c r="J34" s="30">
        <v>311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260</v>
      </c>
      <c r="F35" s="29"/>
      <c r="G35" s="30">
        <v>260</v>
      </c>
      <c r="H35" s="30">
        <v>264</v>
      </c>
      <c r="I35" s="29"/>
      <c r="J35" s="30">
        <v>264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179</v>
      </c>
      <c r="F36" s="29"/>
      <c r="G36" s="30">
        <v>179</v>
      </c>
      <c r="H36" s="30">
        <v>190</v>
      </c>
      <c r="I36" s="29"/>
      <c r="J36" s="30">
        <v>190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114</v>
      </c>
      <c r="F37" s="29"/>
      <c r="G37" s="30">
        <v>114</v>
      </c>
      <c r="H37" s="30">
        <v>127</v>
      </c>
      <c r="I37" s="29"/>
      <c r="J37" s="30">
        <v>127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71</v>
      </c>
      <c r="F38" s="29"/>
      <c r="G38" s="30">
        <v>71</v>
      </c>
      <c r="H38" s="30">
        <v>68</v>
      </c>
      <c r="I38" s="29"/>
      <c r="J38" s="30">
        <v>68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41</v>
      </c>
      <c r="F39" s="29"/>
      <c r="G39" s="30">
        <v>41</v>
      </c>
      <c r="H39" s="30">
        <v>46</v>
      </c>
      <c r="I39" s="29"/>
      <c r="J39" s="30">
        <v>46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3333</v>
      </c>
      <c r="F40" s="29"/>
      <c r="G40" s="31">
        <v>3333</v>
      </c>
      <c r="H40" s="31">
        <v>4023</v>
      </c>
      <c r="I40" s="29"/>
      <c r="J40" s="31">
        <v>4023</v>
      </c>
      <c r="K40" s="30">
        <v>386</v>
      </c>
      <c r="L40" s="29"/>
      <c r="M40" s="30">
        <v>386</v>
      </c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212</v>
      </c>
      <c r="I41" s="29"/>
      <c r="J41" s="30">
        <v>212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0.8</v>
      </c>
      <c r="I42" s="29"/>
      <c r="J42" s="33">
        <v>0.8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143</v>
      </c>
      <c r="I43" s="29"/>
      <c r="J43" s="34" t="s">
        <v>143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0">
        <v>426</v>
      </c>
      <c r="F44" s="29"/>
      <c r="G44" s="30">
        <v>426</v>
      </c>
      <c r="H44" s="30">
        <v>391</v>
      </c>
      <c r="I44" s="29"/>
      <c r="J44" s="30">
        <v>391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0.96</v>
      </c>
      <c r="F45" s="29"/>
      <c r="G45" s="33">
        <v>0.96</v>
      </c>
      <c r="H45" s="33">
        <v>0.95</v>
      </c>
      <c r="I45" s="29"/>
      <c r="J45" s="33">
        <v>0.95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97</v>
      </c>
      <c r="F46" s="29"/>
      <c r="G46" s="34" t="s">
        <v>97</v>
      </c>
      <c r="H46" s="34" t="s">
        <v>144</v>
      </c>
      <c r="I46" s="29"/>
      <c r="J46" s="34" t="s">
        <v>144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1.0049999999999999</v>
      </c>
      <c r="F47" s="29"/>
      <c r="G47" s="35">
        <v>1.0049999999999999</v>
      </c>
      <c r="H47" s="35">
        <v>1.0049999999999999</v>
      </c>
      <c r="I47" s="29"/>
      <c r="J47" s="35">
        <v>1.0049999999999999</v>
      </c>
      <c r="K47" s="35">
        <v>1.0049999999999999</v>
      </c>
      <c r="L47" s="29"/>
      <c r="M47" s="35">
        <v>1.0049999999999999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0.98099999999999998</v>
      </c>
      <c r="F48" s="29"/>
      <c r="G48" s="35">
        <v>0.98099999999999998</v>
      </c>
      <c r="H48" s="35">
        <v>0.94499999999999995</v>
      </c>
      <c r="I48" s="29"/>
      <c r="J48" s="35">
        <v>0.94499999999999995</v>
      </c>
      <c r="K48" s="35">
        <v>0.92400000000000004</v>
      </c>
      <c r="L48" s="29"/>
      <c r="M48" s="35">
        <v>0.92400000000000004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29"/>
      <c r="G49" s="35">
        <v>0.5</v>
      </c>
      <c r="H49" s="35">
        <v>0.5</v>
      </c>
      <c r="I49" s="29"/>
      <c r="J49" s="35">
        <v>0.5</v>
      </c>
      <c r="K49" s="35">
        <v>0.5</v>
      </c>
      <c r="L49" s="29"/>
      <c r="M49" s="35">
        <v>0.5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29"/>
      <c r="G50" s="35">
        <v>2</v>
      </c>
      <c r="H50" s="35">
        <v>2</v>
      </c>
      <c r="I50" s="29"/>
      <c r="J50" s="35">
        <v>2</v>
      </c>
      <c r="K50" s="35">
        <v>2</v>
      </c>
      <c r="L50" s="29"/>
      <c r="M50" s="35">
        <v>2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145</v>
      </c>
    </row>
    <row r="53" spans="1:22" ht="11.45" customHeight="1" x14ac:dyDescent="0.25">
      <c r="A53" s="24" t="s">
        <v>146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147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148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136</v>
      </c>
      <c r="D15" s="27" t="s">
        <v>137</v>
      </c>
      <c r="E15" s="26" t="s">
        <v>62</v>
      </c>
      <c r="F15" s="27" t="s">
        <v>136</v>
      </c>
      <c r="G15" s="27" t="s">
        <v>137</v>
      </c>
      <c r="H15" s="26" t="s">
        <v>62</v>
      </c>
      <c r="I15" s="27" t="s">
        <v>136</v>
      </c>
      <c r="J15" s="27" t="s">
        <v>137</v>
      </c>
      <c r="K15" s="28" t="s">
        <v>62</v>
      </c>
      <c r="L15" s="27" t="s">
        <v>136</v>
      </c>
      <c r="M15" s="27" t="s">
        <v>137</v>
      </c>
      <c r="N15" s="26" t="s">
        <v>62</v>
      </c>
      <c r="O15" s="27" t="s">
        <v>136</v>
      </c>
      <c r="P15" s="27" t="s">
        <v>137</v>
      </c>
      <c r="Q15" s="26" t="s">
        <v>62</v>
      </c>
      <c r="R15" s="27" t="s">
        <v>136</v>
      </c>
      <c r="S15" s="27" t="s">
        <v>137</v>
      </c>
      <c r="T15" s="26" t="s">
        <v>62</v>
      </c>
      <c r="U15" s="27" t="s">
        <v>136</v>
      </c>
      <c r="V15" s="27" t="s">
        <v>137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85</v>
      </c>
      <c r="I16" s="30">
        <v>85</v>
      </c>
      <c r="J16" s="29"/>
      <c r="K16" s="30">
        <v>91</v>
      </c>
      <c r="L16" s="30">
        <v>91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56</v>
      </c>
      <c r="I17" s="30">
        <v>56</v>
      </c>
      <c r="J17" s="29"/>
      <c r="K17" s="30">
        <v>57</v>
      </c>
      <c r="L17" s="30">
        <v>57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45</v>
      </c>
      <c r="I18" s="30">
        <v>45</v>
      </c>
      <c r="J18" s="29"/>
      <c r="K18" s="30">
        <v>44</v>
      </c>
      <c r="L18" s="30">
        <v>44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60</v>
      </c>
      <c r="I19" s="30">
        <v>60</v>
      </c>
      <c r="J19" s="29"/>
      <c r="K19" s="30">
        <v>69</v>
      </c>
      <c r="L19" s="30">
        <v>69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177</v>
      </c>
      <c r="I20" s="30">
        <v>177</v>
      </c>
      <c r="J20" s="29"/>
      <c r="K20" s="30">
        <v>165</v>
      </c>
      <c r="L20" s="30">
        <v>165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582</v>
      </c>
      <c r="I21" s="30">
        <v>582</v>
      </c>
      <c r="J21" s="29"/>
      <c r="K21" s="30">
        <v>581</v>
      </c>
      <c r="L21" s="30">
        <v>581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1">
        <v>1202</v>
      </c>
      <c r="I22" s="31">
        <v>1202</v>
      </c>
      <c r="J22" s="29"/>
      <c r="K22" s="31">
        <v>1203</v>
      </c>
      <c r="L22" s="31">
        <v>1203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1">
        <v>1276</v>
      </c>
      <c r="I23" s="31">
        <v>1276</v>
      </c>
      <c r="J23" s="29"/>
      <c r="K23" s="31">
        <v>1319</v>
      </c>
      <c r="L23" s="31">
        <v>1319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1">
        <v>1026</v>
      </c>
      <c r="I24" s="31">
        <v>1026</v>
      </c>
      <c r="J24" s="29"/>
      <c r="K24" s="31">
        <v>1086</v>
      </c>
      <c r="L24" s="31">
        <v>1086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809</v>
      </c>
      <c r="I25" s="30">
        <v>809</v>
      </c>
      <c r="J25" s="29"/>
      <c r="K25" s="30">
        <v>809</v>
      </c>
      <c r="L25" s="30">
        <v>809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0">
        <v>695</v>
      </c>
      <c r="I26" s="30">
        <v>695</v>
      </c>
      <c r="J26" s="29"/>
      <c r="K26" s="30">
        <v>737</v>
      </c>
      <c r="L26" s="30">
        <v>737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29"/>
      <c r="F27" s="29"/>
      <c r="G27" s="29"/>
      <c r="H27" s="30">
        <v>710</v>
      </c>
      <c r="I27" s="30">
        <v>710</v>
      </c>
      <c r="J27" s="29"/>
      <c r="K27" s="30">
        <v>768</v>
      </c>
      <c r="L27" s="30">
        <v>768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29"/>
      <c r="F28" s="29"/>
      <c r="G28" s="29"/>
      <c r="H28" s="30">
        <v>809</v>
      </c>
      <c r="I28" s="30">
        <v>809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786</v>
      </c>
      <c r="F29" s="30">
        <v>786</v>
      </c>
      <c r="G29" s="29"/>
      <c r="H29" s="30">
        <v>782</v>
      </c>
      <c r="I29" s="30">
        <v>782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748</v>
      </c>
      <c r="F30" s="30">
        <v>748</v>
      </c>
      <c r="G30" s="29"/>
      <c r="H30" s="30">
        <v>797</v>
      </c>
      <c r="I30" s="30">
        <v>797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777</v>
      </c>
      <c r="F31" s="30">
        <v>777</v>
      </c>
      <c r="G31" s="29"/>
      <c r="H31" s="30">
        <v>778</v>
      </c>
      <c r="I31" s="30">
        <v>778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788</v>
      </c>
      <c r="F32" s="30">
        <v>788</v>
      </c>
      <c r="G32" s="29"/>
      <c r="H32" s="30">
        <v>812</v>
      </c>
      <c r="I32" s="30">
        <v>812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759</v>
      </c>
      <c r="F33" s="30">
        <v>759</v>
      </c>
      <c r="G33" s="29"/>
      <c r="H33" s="30">
        <v>842</v>
      </c>
      <c r="I33" s="30">
        <v>842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697</v>
      </c>
      <c r="F34" s="30">
        <v>697</v>
      </c>
      <c r="G34" s="29"/>
      <c r="H34" s="30">
        <v>692</v>
      </c>
      <c r="I34" s="30">
        <v>692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520</v>
      </c>
      <c r="F35" s="30">
        <v>520</v>
      </c>
      <c r="G35" s="29"/>
      <c r="H35" s="30">
        <v>569</v>
      </c>
      <c r="I35" s="30">
        <v>569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497</v>
      </c>
      <c r="F36" s="30">
        <v>497</v>
      </c>
      <c r="G36" s="29"/>
      <c r="H36" s="30">
        <v>486</v>
      </c>
      <c r="I36" s="30">
        <v>486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406</v>
      </c>
      <c r="F37" s="30">
        <v>406</v>
      </c>
      <c r="G37" s="29"/>
      <c r="H37" s="30">
        <v>327</v>
      </c>
      <c r="I37" s="30">
        <v>327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249</v>
      </c>
      <c r="F38" s="30">
        <v>249</v>
      </c>
      <c r="G38" s="29"/>
      <c r="H38" s="30">
        <v>227</v>
      </c>
      <c r="I38" s="30">
        <v>227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136</v>
      </c>
      <c r="F39" s="30">
        <v>136</v>
      </c>
      <c r="G39" s="29"/>
      <c r="H39" s="30">
        <v>143</v>
      </c>
      <c r="I39" s="30">
        <v>143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6363</v>
      </c>
      <c r="F40" s="31">
        <v>6363</v>
      </c>
      <c r="G40" s="29"/>
      <c r="H40" s="31">
        <v>13987</v>
      </c>
      <c r="I40" s="31">
        <v>13987</v>
      </c>
      <c r="J40" s="29"/>
      <c r="K40" s="31">
        <v>6929</v>
      </c>
      <c r="L40" s="31">
        <v>6929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1">
        <v>1321</v>
      </c>
      <c r="I41" s="31">
        <v>1321</v>
      </c>
      <c r="J41" s="29"/>
      <c r="K41" s="31">
        <v>1327</v>
      </c>
      <c r="L41" s="31">
        <v>1327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0.91</v>
      </c>
      <c r="I42" s="33">
        <v>0.91</v>
      </c>
      <c r="J42" s="29"/>
      <c r="K42" s="33">
        <v>0.89</v>
      </c>
      <c r="L42" s="33">
        <v>0.89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149</v>
      </c>
      <c r="I43" s="34" t="s">
        <v>149</v>
      </c>
      <c r="J43" s="29"/>
      <c r="K43" s="34" t="s">
        <v>150</v>
      </c>
      <c r="L43" s="34" t="s">
        <v>150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29"/>
      <c r="F44" s="29"/>
      <c r="G44" s="29"/>
      <c r="H44" s="30">
        <v>842</v>
      </c>
      <c r="I44" s="30">
        <v>842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29"/>
      <c r="F45" s="29"/>
      <c r="G45" s="29"/>
      <c r="H45" s="33">
        <v>0.97</v>
      </c>
      <c r="I45" s="33">
        <v>0.97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29"/>
      <c r="F46" s="29"/>
      <c r="G46" s="29"/>
      <c r="H46" s="34" t="s">
        <v>119</v>
      </c>
      <c r="I46" s="34" t="s">
        <v>119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35">
        <v>0.97599999999999998</v>
      </c>
      <c r="G47" s="29"/>
      <c r="H47" s="35">
        <v>0.97599999999999998</v>
      </c>
      <c r="I47" s="35">
        <v>0.97599999999999998</v>
      </c>
      <c r="J47" s="29"/>
      <c r="K47" s="35">
        <v>0.97599999999999998</v>
      </c>
      <c r="L47" s="35">
        <v>0.97599999999999998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35">
        <v>0.96599999999999997</v>
      </c>
      <c r="G48" s="29"/>
      <c r="H48" s="35">
        <v>0.93200000000000005</v>
      </c>
      <c r="I48" s="35">
        <v>0.93200000000000005</v>
      </c>
      <c r="J48" s="29"/>
      <c r="K48" s="35">
        <v>0.93300000000000005</v>
      </c>
      <c r="L48" s="35">
        <v>0.93300000000000005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35">
        <v>0.5</v>
      </c>
      <c r="G49" s="29"/>
      <c r="H49" s="35">
        <v>0.5</v>
      </c>
      <c r="I49" s="35">
        <v>0.5</v>
      </c>
      <c r="J49" s="29"/>
      <c r="K49" s="35">
        <v>0.5</v>
      </c>
      <c r="L49" s="35">
        <v>0.5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35">
        <v>2</v>
      </c>
      <c r="G50" s="29"/>
      <c r="H50" s="35">
        <v>2</v>
      </c>
      <c r="I50" s="35">
        <v>2</v>
      </c>
      <c r="J50" s="29"/>
      <c r="K50" s="35">
        <v>2</v>
      </c>
      <c r="L50" s="35">
        <v>2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151</v>
      </c>
    </row>
    <row r="53" spans="1:22" ht="11.45" customHeight="1" x14ac:dyDescent="0.25">
      <c r="A53" s="24" t="s">
        <v>152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153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154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155</v>
      </c>
    </row>
    <row r="8" spans="1:22" ht="14.25" customHeight="1" x14ac:dyDescent="0.25">
      <c r="A8" s="23" t="s">
        <v>155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156</v>
      </c>
    </row>
    <row r="11" spans="1:22" ht="14.25" customHeight="1" x14ac:dyDescent="0.25">
      <c r="A11" s="23" t="s">
        <v>157</v>
      </c>
    </row>
    <row r="12" spans="1:22" ht="14.25" customHeight="1" x14ac:dyDescent="0.25">
      <c r="A12" s="23" t="s">
        <v>53</v>
      </c>
    </row>
    <row r="13" spans="1:22" ht="14.25" customHeight="1" x14ac:dyDescent="0.25">
      <c r="A13" s="23" t="s">
        <v>158</v>
      </c>
    </row>
    <row r="14" spans="1:22" ht="14.25" customHeight="1" x14ac:dyDescent="0.25">
      <c r="A14" s="23" t="s">
        <v>158</v>
      </c>
    </row>
    <row r="15" spans="1:22" ht="11.25" customHeight="1" x14ac:dyDescent="0.25">
      <c r="A15" s="171"/>
      <c r="B15" s="168" t="s">
        <v>159</v>
      </c>
      <c r="C15" s="169"/>
      <c r="D15" s="170"/>
      <c r="E15" s="168" t="s">
        <v>160</v>
      </c>
      <c r="F15" s="169"/>
      <c r="G15" s="170"/>
      <c r="H15" s="168" t="s">
        <v>161</v>
      </c>
      <c r="I15" s="169"/>
      <c r="J15" s="170"/>
      <c r="K15" s="168" t="s">
        <v>162</v>
      </c>
      <c r="L15" s="169"/>
      <c r="M15" s="170"/>
      <c r="N15" s="168" t="s">
        <v>163</v>
      </c>
      <c r="O15" s="169"/>
      <c r="P15" s="170"/>
      <c r="Q15" s="168" t="s">
        <v>164</v>
      </c>
      <c r="R15" s="169"/>
      <c r="S15" s="170"/>
      <c r="T15" s="168" t="s">
        <v>165</v>
      </c>
      <c r="U15" s="169"/>
      <c r="V15" s="170"/>
    </row>
    <row r="16" spans="1:22" ht="11.25" customHeight="1" x14ac:dyDescent="0.25">
      <c r="A16" s="172"/>
      <c r="B16" s="26" t="s">
        <v>62</v>
      </c>
      <c r="C16" s="27" t="s">
        <v>63</v>
      </c>
      <c r="D16" s="27" t="s">
        <v>64</v>
      </c>
      <c r="E16" s="26" t="s">
        <v>62</v>
      </c>
      <c r="F16" s="27" t="s">
        <v>63</v>
      </c>
      <c r="G16" s="27" t="s">
        <v>64</v>
      </c>
      <c r="H16" s="26" t="s">
        <v>62</v>
      </c>
      <c r="I16" s="27" t="s">
        <v>63</v>
      </c>
      <c r="J16" s="27" t="s">
        <v>64</v>
      </c>
      <c r="K16" s="28" t="s">
        <v>62</v>
      </c>
      <c r="L16" s="27" t="s">
        <v>63</v>
      </c>
      <c r="M16" s="27" t="s">
        <v>64</v>
      </c>
      <c r="N16" s="26" t="s">
        <v>62</v>
      </c>
      <c r="O16" s="27" t="s">
        <v>63</v>
      </c>
      <c r="P16" s="27" t="s">
        <v>64</v>
      </c>
      <c r="Q16" s="26" t="s">
        <v>62</v>
      </c>
      <c r="R16" s="27" t="s">
        <v>63</v>
      </c>
      <c r="S16" s="27" t="s">
        <v>64</v>
      </c>
      <c r="T16" s="26" t="s">
        <v>62</v>
      </c>
      <c r="U16" s="27" t="s">
        <v>63</v>
      </c>
      <c r="V16" s="27" t="s">
        <v>64</v>
      </c>
    </row>
    <row r="17" spans="1:22" ht="11.25" customHeight="1" x14ac:dyDescent="0.25">
      <c r="A17" s="27" t="s">
        <v>65</v>
      </c>
      <c r="B17" s="29"/>
      <c r="C17" s="29"/>
      <c r="D17" s="29"/>
      <c r="E17" s="29"/>
      <c r="F17" s="29"/>
      <c r="G17" s="29"/>
      <c r="H17" s="30">
        <v>3</v>
      </c>
      <c r="I17" s="29"/>
      <c r="J17" s="30">
        <v>3</v>
      </c>
      <c r="K17" s="30">
        <v>2</v>
      </c>
      <c r="L17" s="29"/>
      <c r="M17" s="30">
        <v>2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66</v>
      </c>
      <c r="B18" s="29"/>
      <c r="C18" s="29"/>
      <c r="D18" s="29"/>
      <c r="E18" s="29"/>
      <c r="F18" s="29"/>
      <c r="G18" s="29"/>
      <c r="H18" s="30">
        <v>4</v>
      </c>
      <c r="I18" s="29"/>
      <c r="J18" s="30">
        <v>4</v>
      </c>
      <c r="K18" s="30">
        <v>6</v>
      </c>
      <c r="L18" s="29"/>
      <c r="M18" s="30">
        <v>6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67</v>
      </c>
      <c r="B19" s="29"/>
      <c r="C19" s="29"/>
      <c r="D19" s="29"/>
      <c r="E19" s="29"/>
      <c r="F19" s="29"/>
      <c r="G19" s="29"/>
      <c r="H19" s="30">
        <v>8</v>
      </c>
      <c r="I19" s="29"/>
      <c r="J19" s="30">
        <v>8</v>
      </c>
      <c r="K19" s="30">
        <v>7</v>
      </c>
      <c r="L19" s="29"/>
      <c r="M19" s="30">
        <v>7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68</v>
      </c>
      <c r="B20" s="29"/>
      <c r="C20" s="29"/>
      <c r="D20" s="29"/>
      <c r="E20" s="29"/>
      <c r="F20" s="29"/>
      <c r="G20" s="29"/>
      <c r="H20" s="30">
        <v>10</v>
      </c>
      <c r="I20" s="29"/>
      <c r="J20" s="30">
        <v>10</v>
      </c>
      <c r="K20" s="30">
        <v>9</v>
      </c>
      <c r="L20" s="29"/>
      <c r="M20" s="30">
        <v>9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69</v>
      </c>
      <c r="B21" s="29"/>
      <c r="C21" s="29"/>
      <c r="D21" s="29"/>
      <c r="E21" s="29"/>
      <c r="F21" s="29"/>
      <c r="G21" s="29"/>
      <c r="H21" s="30">
        <v>13</v>
      </c>
      <c r="I21" s="29"/>
      <c r="J21" s="30">
        <v>13</v>
      </c>
      <c r="K21" s="30">
        <v>19</v>
      </c>
      <c r="L21" s="29"/>
      <c r="M21" s="30">
        <v>19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70</v>
      </c>
      <c r="B22" s="29"/>
      <c r="C22" s="29"/>
      <c r="D22" s="29"/>
      <c r="E22" s="29"/>
      <c r="F22" s="29"/>
      <c r="G22" s="29"/>
      <c r="H22" s="30">
        <v>86</v>
      </c>
      <c r="I22" s="29"/>
      <c r="J22" s="30">
        <v>86</v>
      </c>
      <c r="K22" s="30">
        <v>87</v>
      </c>
      <c r="L22" s="29"/>
      <c r="M22" s="30">
        <v>87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71</v>
      </c>
      <c r="B23" s="29"/>
      <c r="C23" s="29"/>
      <c r="D23" s="29"/>
      <c r="E23" s="29"/>
      <c r="F23" s="29"/>
      <c r="G23" s="29"/>
      <c r="H23" s="30">
        <v>253</v>
      </c>
      <c r="I23" s="29"/>
      <c r="J23" s="30">
        <v>253</v>
      </c>
      <c r="K23" s="30">
        <v>264</v>
      </c>
      <c r="L23" s="29"/>
      <c r="M23" s="30">
        <v>264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72</v>
      </c>
      <c r="B24" s="29"/>
      <c r="C24" s="29"/>
      <c r="D24" s="29"/>
      <c r="E24" s="29"/>
      <c r="F24" s="29"/>
      <c r="G24" s="29"/>
      <c r="H24" s="30">
        <v>279</v>
      </c>
      <c r="I24" s="29"/>
      <c r="J24" s="30">
        <v>279</v>
      </c>
      <c r="K24" s="30">
        <v>253</v>
      </c>
      <c r="L24" s="29"/>
      <c r="M24" s="30">
        <v>253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73</v>
      </c>
      <c r="B25" s="29"/>
      <c r="C25" s="29"/>
      <c r="D25" s="29"/>
      <c r="E25" s="29"/>
      <c r="F25" s="29"/>
      <c r="G25" s="29"/>
      <c r="H25" s="30">
        <v>210</v>
      </c>
      <c r="I25" s="29"/>
      <c r="J25" s="30">
        <v>210</v>
      </c>
      <c r="K25" s="30">
        <v>206</v>
      </c>
      <c r="L25" s="29"/>
      <c r="M25" s="30">
        <v>206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74</v>
      </c>
      <c r="B26" s="29"/>
      <c r="C26" s="29"/>
      <c r="D26" s="29"/>
      <c r="E26" s="29"/>
      <c r="F26" s="29"/>
      <c r="G26" s="29"/>
      <c r="H26" s="30">
        <v>104</v>
      </c>
      <c r="I26" s="29"/>
      <c r="J26" s="30">
        <v>104</v>
      </c>
      <c r="K26" s="30">
        <v>91</v>
      </c>
      <c r="L26" s="29"/>
      <c r="M26" s="30">
        <v>91</v>
      </c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75</v>
      </c>
      <c r="B27" s="29"/>
      <c r="C27" s="29"/>
      <c r="D27" s="29"/>
      <c r="E27" s="29"/>
      <c r="F27" s="29"/>
      <c r="G27" s="29"/>
      <c r="H27" s="30">
        <v>69</v>
      </c>
      <c r="I27" s="29"/>
      <c r="J27" s="30">
        <v>69</v>
      </c>
      <c r="K27" s="30">
        <v>78</v>
      </c>
      <c r="L27" s="29"/>
      <c r="M27" s="30">
        <v>78</v>
      </c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76</v>
      </c>
      <c r="B28" s="29"/>
      <c r="C28" s="29"/>
      <c r="D28" s="29"/>
      <c r="E28" s="29"/>
      <c r="F28" s="29"/>
      <c r="G28" s="29"/>
      <c r="H28" s="30">
        <v>69</v>
      </c>
      <c r="I28" s="29"/>
      <c r="J28" s="30">
        <v>69</v>
      </c>
      <c r="K28" s="30">
        <v>58</v>
      </c>
      <c r="L28" s="29"/>
      <c r="M28" s="30">
        <v>58</v>
      </c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77</v>
      </c>
      <c r="B29" s="29"/>
      <c r="C29" s="29"/>
      <c r="D29" s="29"/>
      <c r="E29" s="29"/>
      <c r="F29" s="29"/>
      <c r="G29" s="29"/>
      <c r="H29" s="30">
        <v>69</v>
      </c>
      <c r="I29" s="29"/>
      <c r="J29" s="30">
        <v>69</v>
      </c>
      <c r="K29" s="30">
        <v>71</v>
      </c>
      <c r="L29" s="29"/>
      <c r="M29" s="30">
        <v>71</v>
      </c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78</v>
      </c>
      <c r="B30" s="29"/>
      <c r="C30" s="29"/>
      <c r="D30" s="29"/>
      <c r="E30" s="29"/>
      <c r="F30" s="29"/>
      <c r="G30" s="29"/>
      <c r="H30" s="30">
        <v>73</v>
      </c>
      <c r="I30" s="29"/>
      <c r="J30" s="30">
        <v>73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79</v>
      </c>
      <c r="B31" s="29"/>
      <c r="C31" s="29"/>
      <c r="D31" s="29"/>
      <c r="E31" s="30">
        <v>67</v>
      </c>
      <c r="F31" s="29"/>
      <c r="G31" s="30">
        <v>67</v>
      </c>
      <c r="H31" s="30">
        <v>56</v>
      </c>
      <c r="I31" s="29"/>
      <c r="J31" s="30">
        <v>56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80</v>
      </c>
      <c r="B32" s="29"/>
      <c r="C32" s="29"/>
      <c r="D32" s="29"/>
      <c r="E32" s="30">
        <v>73</v>
      </c>
      <c r="F32" s="29"/>
      <c r="G32" s="30">
        <v>73</v>
      </c>
      <c r="H32" s="30">
        <v>79</v>
      </c>
      <c r="I32" s="29"/>
      <c r="J32" s="30">
        <v>79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81</v>
      </c>
      <c r="B33" s="29"/>
      <c r="C33" s="29"/>
      <c r="D33" s="29"/>
      <c r="E33" s="30">
        <v>97</v>
      </c>
      <c r="F33" s="29"/>
      <c r="G33" s="30">
        <v>97</v>
      </c>
      <c r="H33" s="30">
        <v>108</v>
      </c>
      <c r="I33" s="29"/>
      <c r="J33" s="30">
        <v>108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82</v>
      </c>
      <c r="B34" s="29"/>
      <c r="C34" s="29"/>
      <c r="D34" s="29"/>
      <c r="E34" s="30">
        <v>96</v>
      </c>
      <c r="F34" s="29"/>
      <c r="G34" s="30">
        <v>96</v>
      </c>
      <c r="H34" s="30">
        <v>105</v>
      </c>
      <c r="I34" s="29"/>
      <c r="J34" s="30">
        <v>105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83</v>
      </c>
      <c r="B35" s="29"/>
      <c r="C35" s="29"/>
      <c r="D35" s="29"/>
      <c r="E35" s="30">
        <v>69</v>
      </c>
      <c r="F35" s="29"/>
      <c r="G35" s="30">
        <v>69</v>
      </c>
      <c r="H35" s="30">
        <v>75</v>
      </c>
      <c r="I35" s="29"/>
      <c r="J35" s="30">
        <v>75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84</v>
      </c>
      <c r="B36" s="29"/>
      <c r="C36" s="29"/>
      <c r="D36" s="29"/>
      <c r="E36" s="30">
        <v>51</v>
      </c>
      <c r="F36" s="29"/>
      <c r="G36" s="30">
        <v>51</v>
      </c>
      <c r="H36" s="30">
        <v>49</v>
      </c>
      <c r="I36" s="29"/>
      <c r="J36" s="30">
        <v>49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85</v>
      </c>
      <c r="B37" s="29"/>
      <c r="C37" s="29"/>
      <c r="D37" s="29"/>
      <c r="E37" s="30">
        <v>37</v>
      </c>
      <c r="F37" s="29"/>
      <c r="G37" s="30">
        <v>37</v>
      </c>
      <c r="H37" s="30">
        <v>47</v>
      </c>
      <c r="I37" s="29"/>
      <c r="J37" s="30">
        <v>47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86</v>
      </c>
      <c r="B38" s="29"/>
      <c r="C38" s="29"/>
      <c r="D38" s="29"/>
      <c r="E38" s="30">
        <v>23</v>
      </c>
      <c r="F38" s="29"/>
      <c r="G38" s="30">
        <v>23</v>
      </c>
      <c r="H38" s="30">
        <v>17</v>
      </c>
      <c r="I38" s="29"/>
      <c r="J38" s="30">
        <v>17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87</v>
      </c>
      <c r="B39" s="29"/>
      <c r="C39" s="29"/>
      <c r="D39" s="29"/>
      <c r="E39" s="30">
        <v>17</v>
      </c>
      <c r="F39" s="29"/>
      <c r="G39" s="30">
        <v>17</v>
      </c>
      <c r="H39" s="30">
        <v>9</v>
      </c>
      <c r="I39" s="29"/>
      <c r="J39" s="30">
        <v>9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88</v>
      </c>
      <c r="B40" s="29"/>
      <c r="C40" s="29"/>
      <c r="D40" s="29"/>
      <c r="E40" s="30">
        <v>8</v>
      </c>
      <c r="F40" s="29"/>
      <c r="G40" s="30">
        <v>8</v>
      </c>
      <c r="H40" s="30">
        <v>10</v>
      </c>
      <c r="I40" s="29"/>
      <c r="J40" s="30">
        <v>10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27" t="s">
        <v>89</v>
      </c>
      <c r="B41" s="29"/>
      <c r="C41" s="29"/>
      <c r="D41" s="29"/>
      <c r="E41" s="30">
        <v>538</v>
      </c>
      <c r="F41" s="29"/>
      <c r="G41" s="30">
        <v>538</v>
      </c>
      <c r="H41" s="31">
        <v>1805</v>
      </c>
      <c r="I41" s="29"/>
      <c r="J41" s="31">
        <v>1805</v>
      </c>
      <c r="K41" s="31">
        <v>1151</v>
      </c>
      <c r="L41" s="29"/>
      <c r="M41" s="31">
        <v>1151</v>
      </c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90</v>
      </c>
      <c r="B42" s="29"/>
      <c r="C42" s="29"/>
      <c r="D42" s="29"/>
      <c r="E42" s="29"/>
      <c r="F42" s="29"/>
      <c r="G42" s="29"/>
      <c r="H42" s="30">
        <v>285</v>
      </c>
      <c r="I42" s="29"/>
      <c r="J42" s="30">
        <v>285</v>
      </c>
      <c r="K42" s="30">
        <v>297</v>
      </c>
      <c r="L42" s="29"/>
      <c r="M42" s="30">
        <v>297</v>
      </c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91</v>
      </c>
      <c r="B43" s="29"/>
      <c r="C43" s="29"/>
      <c r="D43" s="29"/>
      <c r="E43" s="29"/>
      <c r="F43" s="29"/>
      <c r="G43" s="29"/>
      <c r="H43" s="33">
        <v>0.86</v>
      </c>
      <c r="I43" s="29"/>
      <c r="J43" s="33">
        <v>0.86</v>
      </c>
      <c r="K43" s="33">
        <v>0.93</v>
      </c>
      <c r="L43" s="29"/>
      <c r="M43" s="33">
        <v>0.93</v>
      </c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92</v>
      </c>
      <c r="B44" s="29"/>
      <c r="C44" s="29"/>
      <c r="D44" s="29"/>
      <c r="E44" s="29"/>
      <c r="F44" s="29"/>
      <c r="G44" s="29"/>
      <c r="H44" s="34" t="s">
        <v>149</v>
      </c>
      <c r="I44" s="29"/>
      <c r="J44" s="34" t="s">
        <v>149</v>
      </c>
      <c r="K44" s="34" t="s">
        <v>150</v>
      </c>
      <c r="L44" s="29"/>
      <c r="M44" s="34" t="s">
        <v>150</v>
      </c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94</v>
      </c>
      <c r="B45" s="29"/>
      <c r="C45" s="29"/>
      <c r="D45" s="29"/>
      <c r="E45" s="29"/>
      <c r="F45" s="29"/>
      <c r="G45" s="29"/>
      <c r="H45" s="30">
        <v>120</v>
      </c>
      <c r="I45" s="29"/>
      <c r="J45" s="30">
        <v>120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95</v>
      </c>
      <c r="B46" s="29"/>
      <c r="C46" s="29"/>
      <c r="D46" s="29"/>
      <c r="E46" s="29"/>
      <c r="F46" s="29"/>
      <c r="G46" s="29"/>
      <c r="H46" s="33">
        <v>0.86</v>
      </c>
      <c r="I46" s="29"/>
      <c r="J46" s="33">
        <v>0.86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96</v>
      </c>
      <c r="B47" s="29"/>
      <c r="C47" s="29"/>
      <c r="D47" s="29"/>
      <c r="E47" s="29"/>
      <c r="F47" s="29"/>
      <c r="G47" s="29"/>
      <c r="H47" s="34" t="s">
        <v>97</v>
      </c>
      <c r="I47" s="29"/>
      <c r="J47" s="34" t="s">
        <v>97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99</v>
      </c>
      <c r="B48" s="29"/>
      <c r="C48" s="29"/>
      <c r="D48" s="29"/>
      <c r="E48" s="35">
        <v>1.0069999999999999</v>
      </c>
      <c r="F48" s="29"/>
      <c r="G48" s="35">
        <v>1.0069999999999999</v>
      </c>
      <c r="H48" s="35">
        <v>1.0069999999999999</v>
      </c>
      <c r="I48" s="29"/>
      <c r="J48" s="35">
        <v>1.0069999999999999</v>
      </c>
      <c r="K48" s="35">
        <v>1.0069999999999999</v>
      </c>
      <c r="L48" s="29"/>
      <c r="M48" s="35">
        <v>1.0069999999999999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100</v>
      </c>
      <c r="B49" s="29"/>
      <c r="C49" s="29"/>
      <c r="D49" s="29"/>
      <c r="E49" s="35">
        <v>1.016</v>
      </c>
      <c r="F49" s="29"/>
      <c r="G49" s="35">
        <v>1.016</v>
      </c>
      <c r="H49" s="35">
        <v>1.0189999999999999</v>
      </c>
      <c r="I49" s="29"/>
      <c r="J49" s="35">
        <v>1.0189999999999999</v>
      </c>
      <c r="K49" s="35">
        <v>1.008</v>
      </c>
      <c r="L49" s="29"/>
      <c r="M49" s="35">
        <v>1.008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101</v>
      </c>
      <c r="B50" s="29"/>
      <c r="C50" s="29"/>
      <c r="D50" s="29"/>
      <c r="E50" s="35">
        <v>0.5</v>
      </c>
      <c r="F50" s="29"/>
      <c r="G50" s="35">
        <v>0.5</v>
      </c>
      <c r="H50" s="35">
        <v>0.5</v>
      </c>
      <c r="I50" s="29"/>
      <c r="J50" s="35">
        <v>0.5</v>
      </c>
      <c r="K50" s="35">
        <v>0.5</v>
      </c>
      <c r="L50" s="29"/>
      <c r="M50" s="35">
        <v>0.5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1.25" customHeight="1" x14ac:dyDescent="0.25">
      <c r="A51" s="32" t="s">
        <v>102</v>
      </c>
      <c r="B51" s="29"/>
      <c r="C51" s="29"/>
      <c r="D51" s="29"/>
      <c r="E51" s="35">
        <v>2</v>
      </c>
      <c r="F51" s="29"/>
      <c r="G51" s="35">
        <v>2</v>
      </c>
      <c r="H51" s="35">
        <v>2</v>
      </c>
      <c r="I51" s="29"/>
      <c r="J51" s="35">
        <v>2</v>
      </c>
      <c r="K51" s="35">
        <v>2</v>
      </c>
      <c r="L51" s="29"/>
      <c r="M51" s="35">
        <v>2</v>
      </c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14.25" customHeight="1" x14ac:dyDescent="0.25">
      <c r="A52" s="23" t="s">
        <v>103</v>
      </c>
    </row>
    <row r="53" spans="1:22" ht="11.45" customHeight="1" x14ac:dyDescent="0.25">
      <c r="A53" s="36" t="s">
        <v>166</v>
      </c>
    </row>
    <row r="54" spans="1:22" ht="11.45" customHeight="1" x14ac:dyDescent="0.25">
      <c r="A54" s="24" t="s">
        <v>167</v>
      </c>
    </row>
    <row r="55" spans="1:22" ht="11.45" customHeight="1" x14ac:dyDescent="0.25">
      <c r="A55" s="36" t="s">
        <v>106</v>
      </c>
    </row>
    <row r="56" spans="1:22" ht="11.45" customHeight="1" x14ac:dyDescent="0.25">
      <c r="A56" s="36" t="s">
        <v>107</v>
      </c>
    </row>
  </sheetData>
  <mergeCells count="8">
    <mergeCell ref="Q15:S15"/>
    <mergeCell ref="T15:V15"/>
    <mergeCell ref="A15:A16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168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154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155</v>
      </c>
    </row>
    <row r="8" spans="1:22" ht="14.25" customHeight="1" x14ac:dyDescent="0.25">
      <c r="A8" s="23" t="s">
        <v>155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156</v>
      </c>
    </row>
    <row r="11" spans="1:22" ht="14.25" customHeight="1" x14ac:dyDescent="0.25">
      <c r="A11" s="23" t="s">
        <v>169</v>
      </c>
    </row>
    <row r="12" spans="1:22" ht="14.25" customHeight="1" x14ac:dyDescent="0.25">
      <c r="A12" s="23" t="s">
        <v>53</v>
      </c>
    </row>
    <row r="13" spans="1:22" ht="14.25" customHeight="1" x14ac:dyDescent="0.25">
      <c r="A13" s="23" t="s">
        <v>158</v>
      </c>
    </row>
    <row r="14" spans="1:22" ht="14.25" customHeight="1" x14ac:dyDescent="0.25">
      <c r="A14" s="23" t="s">
        <v>158</v>
      </c>
    </row>
    <row r="15" spans="1:22" ht="11.25" customHeight="1" x14ac:dyDescent="0.25">
      <c r="A15" s="171"/>
      <c r="B15" s="168" t="s">
        <v>159</v>
      </c>
      <c r="C15" s="169"/>
      <c r="D15" s="170"/>
      <c r="E15" s="168" t="s">
        <v>160</v>
      </c>
      <c r="F15" s="169"/>
      <c r="G15" s="170"/>
      <c r="H15" s="168" t="s">
        <v>161</v>
      </c>
      <c r="I15" s="169"/>
      <c r="J15" s="170"/>
      <c r="K15" s="168" t="s">
        <v>162</v>
      </c>
      <c r="L15" s="169"/>
      <c r="M15" s="170"/>
      <c r="N15" s="168" t="s">
        <v>163</v>
      </c>
      <c r="O15" s="169"/>
      <c r="P15" s="170"/>
      <c r="Q15" s="168" t="s">
        <v>164</v>
      </c>
      <c r="R15" s="169"/>
      <c r="S15" s="170"/>
      <c r="T15" s="168" t="s">
        <v>165</v>
      </c>
      <c r="U15" s="169"/>
      <c r="V15" s="170"/>
    </row>
    <row r="16" spans="1:22" ht="11.25" customHeight="1" x14ac:dyDescent="0.25">
      <c r="A16" s="172"/>
      <c r="B16" s="26" t="s">
        <v>62</v>
      </c>
      <c r="C16" s="27" t="s">
        <v>63</v>
      </c>
      <c r="D16" s="27" t="s">
        <v>64</v>
      </c>
      <c r="E16" s="26" t="s">
        <v>62</v>
      </c>
      <c r="F16" s="27" t="s">
        <v>63</v>
      </c>
      <c r="G16" s="27" t="s">
        <v>64</v>
      </c>
      <c r="H16" s="26" t="s">
        <v>62</v>
      </c>
      <c r="I16" s="27" t="s">
        <v>63</v>
      </c>
      <c r="J16" s="27" t="s">
        <v>64</v>
      </c>
      <c r="K16" s="28" t="s">
        <v>62</v>
      </c>
      <c r="L16" s="27" t="s">
        <v>63</v>
      </c>
      <c r="M16" s="27" t="s">
        <v>64</v>
      </c>
      <c r="N16" s="26" t="s">
        <v>62</v>
      </c>
      <c r="O16" s="27" t="s">
        <v>63</v>
      </c>
      <c r="P16" s="27" t="s">
        <v>64</v>
      </c>
      <c r="Q16" s="26" t="s">
        <v>62</v>
      </c>
      <c r="R16" s="27" t="s">
        <v>63</v>
      </c>
      <c r="S16" s="27" t="s">
        <v>64</v>
      </c>
      <c r="T16" s="26" t="s">
        <v>62</v>
      </c>
      <c r="U16" s="27" t="s">
        <v>63</v>
      </c>
      <c r="V16" s="27" t="s">
        <v>64</v>
      </c>
    </row>
    <row r="17" spans="1:22" ht="11.25" customHeight="1" x14ac:dyDescent="0.25">
      <c r="A17" s="27" t="s">
        <v>65</v>
      </c>
      <c r="B17" s="29"/>
      <c r="C17" s="29"/>
      <c r="D17" s="29"/>
      <c r="E17" s="29"/>
      <c r="F17" s="29"/>
      <c r="G17" s="29"/>
      <c r="H17" s="30">
        <v>9</v>
      </c>
      <c r="I17" s="29"/>
      <c r="J17" s="30">
        <v>9</v>
      </c>
      <c r="K17" s="30">
        <v>4</v>
      </c>
      <c r="L17" s="29"/>
      <c r="M17" s="30">
        <v>4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66</v>
      </c>
      <c r="B18" s="29"/>
      <c r="C18" s="29"/>
      <c r="D18" s="29"/>
      <c r="E18" s="29"/>
      <c r="F18" s="29"/>
      <c r="G18" s="29"/>
      <c r="H18" s="30">
        <v>9</v>
      </c>
      <c r="I18" s="29"/>
      <c r="J18" s="30">
        <v>9</v>
      </c>
      <c r="K18" s="30">
        <v>4</v>
      </c>
      <c r="L18" s="29"/>
      <c r="M18" s="30">
        <v>4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67</v>
      </c>
      <c r="B19" s="29"/>
      <c r="C19" s="29"/>
      <c r="D19" s="29"/>
      <c r="E19" s="29"/>
      <c r="F19" s="29"/>
      <c r="G19" s="29"/>
      <c r="H19" s="30">
        <v>5</v>
      </c>
      <c r="I19" s="29"/>
      <c r="J19" s="30">
        <v>5</v>
      </c>
      <c r="K19" s="30">
        <v>0</v>
      </c>
      <c r="L19" s="29"/>
      <c r="M19" s="30">
        <v>0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68</v>
      </c>
      <c r="B20" s="29"/>
      <c r="C20" s="29"/>
      <c r="D20" s="29"/>
      <c r="E20" s="29"/>
      <c r="F20" s="29"/>
      <c r="G20" s="29"/>
      <c r="H20" s="30">
        <v>9</v>
      </c>
      <c r="I20" s="29"/>
      <c r="J20" s="30">
        <v>9</v>
      </c>
      <c r="K20" s="30">
        <v>1</v>
      </c>
      <c r="L20" s="29"/>
      <c r="M20" s="30">
        <v>1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69</v>
      </c>
      <c r="B21" s="29"/>
      <c r="C21" s="29"/>
      <c r="D21" s="29"/>
      <c r="E21" s="29"/>
      <c r="F21" s="29"/>
      <c r="G21" s="29"/>
      <c r="H21" s="30">
        <v>3</v>
      </c>
      <c r="I21" s="29"/>
      <c r="J21" s="30">
        <v>3</v>
      </c>
      <c r="K21" s="30">
        <v>6</v>
      </c>
      <c r="L21" s="29"/>
      <c r="M21" s="30">
        <v>6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70</v>
      </c>
      <c r="B22" s="29"/>
      <c r="C22" s="29"/>
      <c r="D22" s="29"/>
      <c r="E22" s="29"/>
      <c r="F22" s="29"/>
      <c r="G22" s="29"/>
      <c r="H22" s="30">
        <v>18</v>
      </c>
      <c r="I22" s="29"/>
      <c r="J22" s="30">
        <v>18</v>
      </c>
      <c r="K22" s="30">
        <v>17</v>
      </c>
      <c r="L22" s="29"/>
      <c r="M22" s="30">
        <v>17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71</v>
      </c>
      <c r="B23" s="29"/>
      <c r="C23" s="29"/>
      <c r="D23" s="29"/>
      <c r="E23" s="29"/>
      <c r="F23" s="29"/>
      <c r="G23" s="29"/>
      <c r="H23" s="30">
        <v>71</v>
      </c>
      <c r="I23" s="29"/>
      <c r="J23" s="30">
        <v>71</v>
      </c>
      <c r="K23" s="30">
        <v>57</v>
      </c>
      <c r="L23" s="29"/>
      <c r="M23" s="30">
        <v>57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72</v>
      </c>
      <c r="B24" s="29"/>
      <c r="C24" s="29"/>
      <c r="D24" s="29"/>
      <c r="E24" s="29"/>
      <c r="F24" s="29"/>
      <c r="G24" s="29"/>
      <c r="H24" s="30">
        <v>118</v>
      </c>
      <c r="I24" s="29"/>
      <c r="J24" s="30">
        <v>118</v>
      </c>
      <c r="K24" s="30">
        <v>126</v>
      </c>
      <c r="L24" s="29"/>
      <c r="M24" s="30">
        <v>126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73</v>
      </c>
      <c r="B25" s="29"/>
      <c r="C25" s="29"/>
      <c r="D25" s="29"/>
      <c r="E25" s="29"/>
      <c r="F25" s="29"/>
      <c r="G25" s="29"/>
      <c r="H25" s="30">
        <v>114</v>
      </c>
      <c r="I25" s="29"/>
      <c r="J25" s="30">
        <v>114</v>
      </c>
      <c r="K25" s="30">
        <v>118</v>
      </c>
      <c r="L25" s="29"/>
      <c r="M25" s="30">
        <v>118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74</v>
      </c>
      <c r="B26" s="29"/>
      <c r="C26" s="29"/>
      <c r="D26" s="29"/>
      <c r="E26" s="29"/>
      <c r="F26" s="29"/>
      <c r="G26" s="29"/>
      <c r="H26" s="30">
        <v>86</v>
      </c>
      <c r="I26" s="29"/>
      <c r="J26" s="30">
        <v>86</v>
      </c>
      <c r="K26" s="30">
        <v>88</v>
      </c>
      <c r="L26" s="29"/>
      <c r="M26" s="30">
        <v>88</v>
      </c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75</v>
      </c>
      <c r="B27" s="29"/>
      <c r="C27" s="29"/>
      <c r="D27" s="29"/>
      <c r="E27" s="29"/>
      <c r="F27" s="29"/>
      <c r="G27" s="29"/>
      <c r="H27" s="30">
        <v>88</v>
      </c>
      <c r="I27" s="29"/>
      <c r="J27" s="30">
        <v>88</v>
      </c>
      <c r="K27" s="30">
        <v>101</v>
      </c>
      <c r="L27" s="29"/>
      <c r="M27" s="30">
        <v>101</v>
      </c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76</v>
      </c>
      <c r="B28" s="29"/>
      <c r="C28" s="29"/>
      <c r="D28" s="29"/>
      <c r="E28" s="29"/>
      <c r="F28" s="29"/>
      <c r="G28" s="29"/>
      <c r="H28" s="30">
        <v>101</v>
      </c>
      <c r="I28" s="29"/>
      <c r="J28" s="30">
        <v>101</v>
      </c>
      <c r="K28" s="30">
        <v>82</v>
      </c>
      <c r="L28" s="29"/>
      <c r="M28" s="30">
        <v>82</v>
      </c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77</v>
      </c>
      <c r="B29" s="29"/>
      <c r="C29" s="29"/>
      <c r="D29" s="29"/>
      <c r="E29" s="29"/>
      <c r="F29" s="29"/>
      <c r="G29" s="29"/>
      <c r="H29" s="30">
        <v>80</v>
      </c>
      <c r="I29" s="29"/>
      <c r="J29" s="30">
        <v>80</v>
      </c>
      <c r="K29" s="30">
        <v>113</v>
      </c>
      <c r="L29" s="29"/>
      <c r="M29" s="30">
        <v>113</v>
      </c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78</v>
      </c>
      <c r="B30" s="29"/>
      <c r="C30" s="29"/>
      <c r="D30" s="29"/>
      <c r="E30" s="29"/>
      <c r="F30" s="29"/>
      <c r="G30" s="29"/>
      <c r="H30" s="30">
        <v>92</v>
      </c>
      <c r="I30" s="29"/>
      <c r="J30" s="30">
        <v>92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79</v>
      </c>
      <c r="B31" s="29"/>
      <c r="C31" s="29"/>
      <c r="D31" s="29"/>
      <c r="E31" s="30">
        <v>124</v>
      </c>
      <c r="F31" s="29"/>
      <c r="G31" s="30">
        <v>124</v>
      </c>
      <c r="H31" s="30">
        <v>141</v>
      </c>
      <c r="I31" s="29"/>
      <c r="J31" s="30">
        <v>141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80</v>
      </c>
      <c r="B32" s="29"/>
      <c r="C32" s="29"/>
      <c r="D32" s="29"/>
      <c r="E32" s="30">
        <v>141</v>
      </c>
      <c r="F32" s="29"/>
      <c r="G32" s="30">
        <v>141</v>
      </c>
      <c r="H32" s="30">
        <v>160</v>
      </c>
      <c r="I32" s="29"/>
      <c r="J32" s="30">
        <v>160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81</v>
      </c>
      <c r="B33" s="29"/>
      <c r="C33" s="29"/>
      <c r="D33" s="29"/>
      <c r="E33" s="30">
        <v>184</v>
      </c>
      <c r="F33" s="29"/>
      <c r="G33" s="30">
        <v>184</v>
      </c>
      <c r="H33" s="30">
        <v>180</v>
      </c>
      <c r="I33" s="29"/>
      <c r="J33" s="30">
        <v>180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82</v>
      </c>
      <c r="B34" s="29"/>
      <c r="C34" s="29"/>
      <c r="D34" s="29"/>
      <c r="E34" s="30">
        <v>182</v>
      </c>
      <c r="F34" s="29"/>
      <c r="G34" s="30">
        <v>182</v>
      </c>
      <c r="H34" s="30">
        <v>201</v>
      </c>
      <c r="I34" s="29"/>
      <c r="J34" s="30">
        <v>201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83</v>
      </c>
      <c r="B35" s="29"/>
      <c r="C35" s="29"/>
      <c r="D35" s="29"/>
      <c r="E35" s="30">
        <v>120</v>
      </c>
      <c r="F35" s="29"/>
      <c r="G35" s="30">
        <v>120</v>
      </c>
      <c r="H35" s="30">
        <v>97</v>
      </c>
      <c r="I35" s="29"/>
      <c r="J35" s="30">
        <v>97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84</v>
      </c>
      <c r="B36" s="29"/>
      <c r="C36" s="29"/>
      <c r="D36" s="29"/>
      <c r="E36" s="30">
        <v>70</v>
      </c>
      <c r="F36" s="29"/>
      <c r="G36" s="30">
        <v>70</v>
      </c>
      <c r="H36" s="30">
        <v>64</v>
      </c>
      <c r="I36" s="29"/>
      <c r="J36" s="30">
        <v>64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85</v>
      </c>
      <c r="B37" s="29"/>
      <c r="C37" s="29"/>
      <c r="D37" s="29"/>
      <c r="E37" s="30">
        <v>63</v>
      </c>
      <c r="F37" s="29"/>
      <c r="G37" s="30">
        <v>63</v>
      </c>
      <c r="H37" s="30">
        <v>58</v>
      </c>
      <c r="I37" s="29"/>
      <c r="J37" s="30">
        <v>58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86</v>
      </c>
      <c r="B38" s="29"/>
      <c r="C38" s="29"/>
      <c r="D38" s="29"/>
      <c r="E38" s="30">
        <v>30</v>
      </c>
      <c r="F38" s="29"/>
      <c r="G38" s="30">
        <v>30</v>
      </c>
      <c r="H38" s="30">
        <v>34</v>
      </c>
      <c r="I38" s="29"/>
      <c r="J38" s="30">
        <v>34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87</v>
      </c>
      <c r="B39" s="29"/>
      <c r="C39" s="29"/>
      <c r="D39" s="29"/>
      <c r="E39" s="30">
        <v>21</v>
      </c>
      <c r="F39" s="29"/>
      <c r="G39" s="30">
        <v>21</v>
      </c>
      <c r="H39" s="30">
        <v>24</v>
      </c>
      <c r="I39" s="29"/>
      <c r="J39" s="30">
        <v>24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88</v>
      </c>
      <c r="B40" s="29"/>
      <c r="C40" s="29"/>
      <c r="D40" s="29"/>
      <c r="E40" s="30">
        <v>14</v>
      </c>
      <c r="F40" s="29"/>
      <c r="G40" s="30">
        <v>14</v>
      </c>
      <c r="H40" s="30">
        <v>15</v>
      </c>
      <c r="I40" s="29"/>
      <c r="J40" s="30">
        <v>15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27" t="s">
        <v>89</v>
      </c>
      <c r="B41" s="29"/>
      <c r="C41" s="29"/>
      <c r="D41" s="29"/>
      <c r="E41" s="30">
        <v>949</v>
      </c>
      <c r="F41" s="29"/>
      <c r="G41" s="30">
        <v>949</v>
      </c>
      <c r="H41" s="31">
        <v>1777</v>
      </c>
      <c r="I41" s="29"/>
      <c r="J41" s="31">
        <v>1777</v>
      </c>
      <c r="K41" s="30">
        <v>717</v>
      </c>
      <c r="L41" s="29"/>
      <c r="M41" s="30">
        <v>717</v>
      </c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90</v>
      </c>
      <c r="B42" s="29"/>
      <c r="C42" s="29"/>
      <c r="D42" s="29"/>
      <c r="E42" s="29"/>
      <c r="F42" s="29"/>
      <c r="G42" s="29"/>
      <c r="H42" s="30">
        <v>138</v>
      </c>
      <c r="I42" s="29"/>
      <c r="J42" s="30">
        <v>138</v>
      </c>
      <c r="K42" s="30">
        <v>134</v>
      </c>
      <c r="L42" s="29"/>
      <c r="M42" s="30">
        <v>134</v>
      </c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91</v>
      </c>
      <c r="B43" s="29"/>
      <c r="C43" s="29"/>
      <c r="D43" s="29"/>
      <c r="E43" s="29"/>
      <c r="F43" s="29"/>
      <c r="G43" s="29"/>
      <c r="H43" s="33">
        <v>0.78</v>
      </c>
      <c r="I43" s="29"/>
      <c r="J43" s="33">
        <v>0.78</v>
      </c>
      <c r="K43" s="33">
        <v>0.93</v>
      </c>
      <c r="L43" s="29"/>
      <c r="M43" s="33">
        <v>0.93</v>
      </c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92</v>
      </c>
      <c r="B44" s="29"/>
      <c r="C44" s="29"/>
      <c r="D44" s="29"/>
      <c r="E44" s="29"/>
      <c r="F44" s="29"/>
      <c r="G44" s="29"/>
      <c r="H44" s="34" t="s">
        <v>130</v>
      </c>
      <c r="I44" s="29"/>
      <c r="J44" s="34" t="s">
        <v>130</v>
      </c>
      <c r="K44" s="34" t="s">
        <v>129</v>
      </c>
      <c r="L44" s="29"/>
      <c r="M44" s="34" t="s">
        <v>129</v>
      </c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94</v>
      </c>
      <c r="B45" s="29"/>
      <c r="C45" s="29"/>
      <c r="D45" s="29"/>
      <c r="E45" s="29"/>
      <c r="F45" s="29"/>
      <c r="G45" s="29"/>
      <c r="H45" s="30">
        <v>223</v>
      </c>
      <c r="I45" s="29"/>
      <c r="J45" s="30">
        <v>223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95</v>
      </c>
      <c r="B46" s="29"/>
      <c r="C46" s="29"/>
      <c r="D46" s="29"/>
      <c r="E46" s="29"/>
      <c r="F46" s="29"/>
      <c r="G46" s="29"/>
      <c r="H46" s="33">
        <v>0.83</v>
      </c>
      <c r="I46" s="29"/>
      <c r="J46" s="33">
        <v>0.83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96</v>
      </c>
      <c r="B47" s="29"/>
      <c r="C47" s="29"/>
      <c r="D47" s="29"/>
      <c r="E47" s="29"/>
      <c r="F47" s="29"/>
      <c r="G47" s="29"/>
      <c r="H47" s="34" t="s">
        <v>97</v>
      </c>
      <c r="I47" s="29"/>
      <c r="J47" s="34" t="s">
        <v>97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99</v>
      </c>
      <c r="B48" s="29"/>
      <c r="C48" s="29"/>
      <c r="D48" s="29"/>
      <c r="E48" s="35">
        <v>1.0069999999999999</v>
      </c>
      <c r="F48" s="29"/>
      <c r="G48" s="35">
        <v>1.0069999999999999</v>
      </c>
      <c r="H48" s="35">
        <v>1.0069999999999999</v>
      </c>
      <c r="I48" s="29"/>
      <c r="J48" s="35">
        <v>1.0069999999999999</v>
      </c>
      <c r="K48" s="35">
        <v>1.0069999999999999</v>
      </c>
      <c r="L48" s="29"/>
      <c r="M48" s="35">
        <v>1.0069999999999999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100</v>
      </c>
      <c r="B49" s="29"/>
      <c r="C49" s="29"/>
      <c r="D49" s="29"/>
      <c r="E49" s="35">
        <v>1.016</v>
      </c>
      <c r="F49" s="29"/>
      <c r="G49" s="35">
        <v>1.016</v>
      </c>
      <c r="H49" s="35">
        <v>1.0189999999999999</v>
      </c>
      <c r="I49" s="29"/>
      <c r="J49" s="35">
        <v>1.0189999999999999</v>
      </c>
      <c r="K49" s="35">
        <v>1.008</v>
      </c>
      <c r="L49" s="29"/>
      <c r="M49" s="35">
        <v>1.008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101</v>
      </c>
      <c r="B50" s="29"/>
      <c r="C50" s="29"/>
      <c r="D50" s="29"/>
      <c r="E50" s="35">
        <v>0.5</v>
      </c>
      <c r="F50" s="29"/>
      <c r="G50" s="35">
        <v>0.5</v>
      </c>
      <c r="H50" s="35">
        <v>0.5</v>
      </c>
      <c r="I50" s="29"/>
      <c r="J50" s="35">
        <v>0.5</v>
      </c>
      <c r="K50" s="35">
        <v>0.5</v>
      </c>
      <c r="L50" s="29"/>
      <c r="M50" s="35">
        <v>0.5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1.25" customHeight="1" x14ac:dyDescent="0.25">
      <c r="A51" s="32" t="s">
        <v>102</v>
      </c>
      <c r="B51" s="29"/>
      <c r="C51" s="29"/>
      <c r="D51" s="29"/>
      <c r="E51" s="35">
        <v>2</v>
      </c>
      <c r="F51" s="29"/>
      <c r="G51" s="35">
        <v>2</v>
      </c>
      <c r="H51" s="35">
        <v>2</v>
      </c>
      <c r="I51" s="29"/>
      <c r="J51" s="35">
        <v>2</v>
      </c>
      <c r="K51" s="35">
        <v>2</v>
      </c>
      <c r="L51" s="29"/>
      <c r="M51" s="35">
        <v>2</v>
      </c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14.25" customHeight="1" x14ac:dyDescent="0.25">
      <c r="A52" s="23" t="s">
        <v>103</v>
      </c>
    </row>
    <row r="53" spans="1:22" ht="11.45" customHeight="1" x14ac:dyDescent="0.25">
      <c r="A53" s="36" t="s">
        <v>170</v>
      </c>
    </row>
    <row r="54" spans="1:22" ht="11.45" customHeight="1" x14ac:dyDescent="0.25">
      <c r="A54" s="24" t="s">
        <v>171</v>
      </c>
    </row>
    <row r="55" spans="1:22" ht="11.45" customHeight="1" x14ac:dyDescent="0.25">
      <c r="A55" s="36" t="s">
        <v>106</v>
      </c>
    </row>
    <row r="56" spans="1:22" ht="11.45" customHeight="1" x14ac:dyDescent="0.25">
      <c r="A56" s="36" t="s">
        <v>107</v>
      </c>
    </row>
  </sheetData>
  <mergeCells count="8">
    <mergeCell ref="Q15:S15"/>
    <mergeCell ref="T15:V15"/>
    <mergeCell ref="A15:A16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13" workbookViewId="0">
      <selection activeCell="W30" sqref="W30"/>
    </sheetView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172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109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155</v>
      </c>
    </row>
    <row r="8" spans="1:22" ht="14.25" customHeight="1" x14ac:dyDescent="0.25">
      <c r="A8" s="23" t="s">
        <v>155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156</v>
      </c>
    </row>
    <row r="11" spans="1:22" ht="14.25" customHeight="1" x14ac:dyDescent="0.25">
      <c r="A11" s="23" t="s">
        <v>173</v>
      </c>
    </row>
    <row r="12" spans="1:22" ht="14.25" customHeight="1" x14ac:dyDescent="0.25">
      <c r="A12" s="23" t="s">
        <v>53</v>
      </c>
    </row>
    <row r="13" spans="1:22" ht="14.25" customHeight="1" x14ac:dyDescent="0.25">
      <c r="A13" s="23" t="s">
        <v>158</v>
      </c>
    </row>
    <row r="14" spans="1:22" ht="14.25" customHeight="1" x14ac:dyDescent="0.25">
      <c r="A14" s="23" t="s">
        <v>158</v>
      </c>
    </row>
    <row r="15" spans="1:22" ht="11.25" customHeight="1" x14ac:dyDescent="0.25">
      <c r="A15" s="171"/>
      <c r="B15" s="168" t="s">
        <v>111</v>
      </c>
      <c r="C15" s="169"/>
      <c r="D15" s="170"/>
      <c r="E15" s="168" t="s">
        <v>112</v>
      </c>
      <c r="F15" s="169"/>
      <c r="G15" s="170"/>
      <c r="H15" s="168" t="s">
        <v>113</v>
      </c>
      <c r="I15" s="169"/>
      <c r="J15" s="170"/>
      <c r="K15" s="168" t="s">
        <v>114</v>
      </c>
      <c r="L15" s="169"/>
      <c r="M15" s="170"/>
      <c r="N15" s="168" t="s">
        <v>115</v>
      </c>
      <c r="O15" s="169"/>
      <c r="P15" s="170"/>
      <c r="Q15" s="168" t="s">
        <v>116</v>
      </c>
      <c r="R15" s="169"/>
      <c r="S15" s="170"/>
      <c r="T15" s="168" t="s">
        <v>117</v>
      </c>
      <c r="U15" s="169"/>
      <c r="V15" s="170"/>
    </row>
    <row r="16" spans="1:22" ht="11.25" customHeight="1" x14ac:dyDescent="0.25">
      <c r="A16" s="172"/>
      <c r="B16" s="26" t="s">
        <v>62</v>
      </c>
      <c r="C16" s="27" t="s">
        <v>63</v>
      </c>
      <c r="D16" s="27" t="s">
        <v>64</v>
      </c>
      <c r="E16" s="26" t="s">
        <v>62</v>
      </c>
      <c r="F16" s="27" t="s">
        <v>63</v>
      </c>
      <c r="G16" s="27" t="s">
        <v>64</v>
      </c>
      <c r="H16" s="26" t="s">
        <v>62</v>
      </c>
      <c r="I16" s="27" t="s">
        <v>63</v>
      </c>
      <c r="J16" s="27" t="s">
        <v>64</v>
      </c>
      <c r="K16" s="28" t="s">
        <v>62</v>
      </c>
      <c r="L16" s="27" t="s">
        <v>63</v>
      </c>
      <c r="M16" s="27" t="s">
        <v>64</v>
      </c>
      <c r="N16" s="26" t="s">
        <v>62</v>
      </c>
      <c r="O16" s="27" t="s">
        <v>63</v>
      </c>
      <c r="P16" s="27" t="s">
        <v>64</v>
      </c>
      <c r="Q16" s="26" t="s">
        <v>62</v>
      </c>
      <c r="R16" s="27" t="s">
        <v>63</v>
      </c>
      <c r="S16" s="27" t="s">
        <v>64</v>
      </c>
      <c r="T16" s="26" t="s">
        <v>62</v>
      </c>
      <c r="U16" s="27" t="s">
        <v>63</v>
      </c>
      <c r="V16" s="27" t="s">
        <v>64</v>
      </c>
    </row>
    <row r="17" spans="1:22" ht="11.25" customHeight="1" x14ac:dyDescent="0.25">
      <c r="A17" s="27" t="s">
        <v>65</v>
      </c>
      <c r="B17" s="29"/>
      <c r="C17" s="29"/>
      <c r="D17" s="29"/>
      <c r="E17" s="29"/>
      <c r="F17" s="29"/>
      <c r="G17" s="29"/>
      <c r="H17" s="30">
        <v>10</v>
      </c>
      <c r="I17" s="30">
        <v>10</v>
      </c>
      <c r="J17" s="29"/>
      <c r="K17" s="30">
        <v>4</v>
      </c>
      <c r="L17" s="30">
        <v>4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66</v>
      </c>
      <c r="B18" s="29"/>
      <c r="C18" s="29"/>
      <c r="D18" s="29"/>
      <c r="E18" s="29"/>
      <c r="F18" s="29"/>
      <c r="G18" s="29"/>
      <c r="H18" s="30">
        <v>3</v>
      </c>
      <c r="I18" s="30">
        <v>3</v>
      </c>
      <c r="J18" s="29"/>
      <c r="K18" s="30">
        <v>6</v>
      </c>
      <c r="L18" s="30">
        <v>6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67</v>
      </c>
      <c r="B19" s="29"/>
      <c r="C19" s="29"/>
      <c r="D19" s="29"/>
      <c r="E19" s="29"/>
      <c r="F19" s="29"/>
      <c r="G19" s="29"/>
      <c r="H19" s="30">
        <v>2</v>
      </c>
      <c r="I19" s="30">
        <v>2</v>
      </c>
      <c r="J19" s="29"/>
      <c r="K19" s="30">
        <v>0</v>
      </c>
      <c r="L19" s="30">
        <v>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68</v>
      </c>
      <c r="B20" s="29"/>
      <c r="C20" s="29"/>
      <c r="D20" s="29"/>
      <c r="E20" s="29"/>
      <c r="F20" s="29"/>
      <c r="G20" s="29"/>
      <c r="H20" s="30">
        <v>4</v>
      </c>
      <c r="I20" s="30">
        <v>4</v>
      </c>
      <c r="J20" s="29"/>
      <c r="K20" s="30">
        <v>2</v>
      </c>
      <c r="L20" s="30">
        <v>2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69</v>
      </c>
      <c r="B21" s="29"/>
      <c r="C21" s="29"/>
      <c r="D21" s="29"/>
      <c r="E21" s="29"/>
      <c r="F21" s="29"/>
      <c r="G21" s="29"/>
      <c r="H21" s="30">
        <v>10</v>
      </c>
      <c r="I21" s="30">
        <v>10</v>
      </c>
      <c r="J21" s="29"/>
      <c r="K21" s="30">
        <v>13</v>
      </c>
      <c r="L21" s="30">
        <v>13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70</v>
      </c>
      <c r="B22" s="29"/>
      <c r="C22" s="29"/>
      <c r="D22" s="29"/>
      <c r="E22" s="29"/>
      <c r="F22" s="29"/>
      <c r="G22" s="29"/>
      <c r="H22" s="30">
        <v>21</v>
      </c>
      <c r="I22" s="30">
        <v>21</v>
      </c>
      <c r="J22" s="29"/>
      <c r="K22" s="30">
        <v>28</v>
      </c>
      <c r="L22" s="30">
        <v>28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71</v>
      </c>
      <c r="B23" s="29"/>
      <c r="C23" s="29"/>
      <c r="D23" s="29"/>
      <c r="E23" s="29"/>
      <c r="F23" s="29"/>
      <c r="G23" s="29"/>
      <c r="H23" s="30">
        <v>74</v>
      </c>
      <c r="I23" s="30">
        <v>74</v>
      </c>
      <c r="J23" s="29"/>
      <c r="K23" s="30">
        <v>76</v>
      </c>
      <c r="L23" s="30">
        <v>76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72</v>
      </c>
      <c r="B24" s="29"/>
      <c r="C24" s="29"/>
      <c r="D24" s="29"/>
      <c r="E24" s="29"/>
      <c r="F24" s="29"/>
      <c r="G24" s="29"/>
      <c r="H24" s="30">
        <v>168</v>
      </c>
      <c r="I24" s="30">
        <v>168</v>
      </c>
      <c r="J24" s="29"/>
      <c r="K24" s="30">
        <v>127</v>
      </c>
      <c r="L24" s="30">
        <v>127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73</v>
      </c>
      <c r="B25" s="29"/>
      <c r="C25" s="29"/>
      <c r="D25" s="29"/>
      <c r="E25" s="29"/>
      <c r="F25" s="29"/>
      <c r="G25" s="29"/>
      <c r="H25" s="30">
        <v>83</v>
      </c>
      <c r="I25" s="30">
        <v>83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74</v>
      </c>
      <c r="B26" s="29"/>
      <c r="C26" s="29"/>
      <c r="D26" s="29"/>
      <c r="E26" s="29"/>
      <c r="F26" s="29"/>
      <c r="G26" s="29"/>
      <c r="H26" s="30">
        <v>62</v>
      </c>
      <c r="I26" s="30">
        <v>62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75</v>
      </c>
      <c r="B27" s="29"/>
      <c r="C27" s="29"/>
      <c r="D27" s="29"/>
      <c r="E27" s="30">
        <v>59</v>
      </c>
      <c r="F27" s="30">
        <v>59</v>
      </c>
      <c r="G27" s="29"/>
      <c r="H27" s="30">
        <v>61</v>
      </c>
      <c r="I27" s="30">
        <v>61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76</v>
      </c>
      <c r="B28" s="29"/>
      <c r="C28" s="29"/>
      <c r="D28" s="29"/>
      <c r="E28" s="30">
        <v>63</v>
      </c>
      <c r="F28" s="30">
        <v>63</v>
      </c>
      <c r="G28" s="29"/>
      <c r="H28" s="30">
        <v>88</v>
      </c>
      <c r="I28" s="30">
        <v>88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77</v>
      </c>
      <c r="B29" s="29"/>
      <c r="C29" s="29"/>
      <c r="D29" s="29"/>
      <c r="E29" s="30">
        <v>93</v>
      </c>
      <c r="F29" s="30">
        <v>93</v>
      </c>
      <c r="G29" s="29"/>
      <c r="H29" s="30">
        <v>79</v>
      </c>
      <c r="I29" s="30">
        <v>79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78</v>
      </c>
      <c r="B30" s="29"/>
      <c r="C30" s="29"/>
      <c r="D30" s="29"/>
      <c r="E30" s="30">
        <v>103</v>
      </c>
      <c r="F30" s="30">
        <v>103</v>
      </c>
      <c r="G30" s="29"/>
      <c r="H30" s="30">
        <v>83</v>
      </c>
      <c r="I30" s="30">
        <v>83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79</v>
      </c>
      <c r="B31" s="29"/>
      <c r="C31" s="29"/>
      <c r="D31" s="29"/>
      <c r="E31" s="30">
        <v>123</v>
      </c>
      <c r="F31" s="30">
        <v>123</v>
      </c>
      <c r="G31" s="29"/>
      <c r="H31" s="30">
        <v>124</v>
      </c>
      <c r="I31" s="30">
        <v>124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80</v>
      </c>
      <c r="B32" s="29"/>
      <c r="C32" s="29"/>
      <c r="D32" s="29"/>
      <c r="E32" s="30">
        <v>158</v>
      </c>
      <c r="F32" s="30">
        <v>158</v>
      </c>
      <c r="G32" s="29"/>
      <c r="H32" s="30">
        <v>161</v>
      </c>
      <c r="I32" s="30">
        <v>161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81</v>
      </c>
      <c r="B33" s="29"/>
      <c r="C33" s="29"/>
      <c r="D33" s="29"/>
      <c r="E33" s="30">
        <v>153</v>
      </c>
      <c r="F33" s="30">
        <v>153</v>
      </c>
      <c r="G33" s="29"/>
      <c r="H33" s="30">
        <v>179</v>
      </c>
      <c r="I33" s="30">
        <v>179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82</v>
      </c>
      <c r="B34" s="29"/>
      <c r="C34" s="29"/>
      <c r="D34" s="29"/>
      <c r="E34" s="30">
        <v>203</v>
      </c>
      <c r="F34" s="30">
        <v>203</v>
      </c>
      <c r="G34" s="29"/>
      <c r="H34" s="30">
        <v>181</v>
      </c>
      <c r="I34" s="30">
        <v>181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83</v>
      </c>
      <c r="B35" s="29"/>
      <c r="C35" s="29"/>
      <c r="D35" s="29"/>
      <c r="E35" s="30">
        <v>119</v>
      </c>
      <c r="F35" s="30">
        <v>119</v>
      </c>
      <c r="G35" s="29"/>
      <c r="H35" s="30">
        <v>129</v>
      </c>
      <c r="I35" s="30">
        <v>129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84</v>
      </c>
      <c r="B36" s="29"/>
      <c r="C36" s="29"/>
      <c r="D36" s="29"/>
      <c r="E36" s="30">
        <v>86</v>
      </c>
      <c r="F36" s="30">
        <v>86</v>
      </c>
      <c r="G36" s="29"/>
      <c r="H36" s="30">
        <v>106</v>
      </c>
      <c r="I36" s="30">
        <v>106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85</v>
      </c>
      <c r="B37" s="29"/>
      <c r="C37" s="29"/>
      <c r="D37" s="29"/>
      <c r="E37" s="30">
        <v>54</v>
      </c>
      <c r="F37" s="30">
        <v>54</v>
      </c>
      <c r="G37" s="29"/>
      <c r="H37" s="30">
        <v>67</v>
      </c>
      <c r="I37" s="30">
        <v>67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86</v>
      </c>
      <c r="B38" s="29"/>
      <c r="C38" s="29"/>
      <c r="D38" s="29"/>
      <c r="E38" s="30">
        <v>36</v>
      </c>
      <c r="F38" s="30">
        <v>36</v>
      </c>
      <c r="G38" s="29"/>
      <c r="H38" s="30">
        <v>29</v>
      </c>
      <c r="I38" s="30">
        <v>29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87</v>
      </c>
      <c r="B39" s="29"/>
      <c r="C39" s="29"/>
      <c r="D39" s="29"/>
      <c r="E39" s="30">
        <v>26</v>
      </c>
      <c r="F39" s="30">
        <v>26</v>
      </c>
      <c r="G39" s="29"/>
      <c r="H39" s="30">
        <v>34</v>
      </c>
      <c r="I39" s="30">
        <v>34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88</v>
      </c>
      <c r="B40" s="29"/>
      <c r="C40" s="29"/>
      <c r="D40" s="29"/>
      <c r="E40" s="30">
        <v>16</v>
      </c>
      <c r="F40" s="30">
        <v>16</v>
      </c>
      <c r="G40" s="29"/>
      <c r="H40" s="30">
        <v>12</v>
      </c>
      <c r="I40" s="30">
        <v>12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27" t="s">
        <v>89</v>
      </c>
      <c r="B41" s="29"/>
      <c r="C41" s="29"/>
      <c r="D41" s="29"/>
      <c r="E41" s="31">
        <v>1292</v>
      </c>
      <c r="F41" s="31">
        <v>1292</v>
      </c>
      <c r="G41" s="29"/>
      <c r="H41" s="31">
        <v>1770</v>
      </c>
      <c r="I41" s="31">
        <v>1770</v>
      </c>
      <c r="J41" s="29"/>
      <c r="K41" s="30">
        <v>256</v>
      </c>
      <c r="L41" s="30">
        <v>256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90</v>
      </c>
      <c r="B42" s="29"/>
      <c r="C42" s="29"/>
      <c r="D42" s="29"/>
      <c r="E42" s="29"/>
      <c r="F42" s="29"/>
      <c r="G42" s="29"/>
      <c r="H42" s="30">
        <v>175</v>
      </c>
      <c r="I42" s="30">
        <v>175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91</v>
      </c>
      <c r="B43" s="29"/>
      <c r="C43" s="29"/>
      <c r="D43" s="29"/>
      <c r="E43" s="29"/>
      <c r="F43" s="29"/>
      <c r="G43" s="29"/>
      <c r="H43" s="33">
        <v>0.81</v>
      </c>
      <c r="I43" s="33">
        <v>0.81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92</v>
      </c>
      <c r="B44" s="29"/>
      <c r="C44" s="29"/>
      <c r="D44" s="29"/>
      <c r="E44" s="29"/>
      <c r="F44" s="29"/>
      <c r="G44" s="29"/>
      <c r="H44" s="34" t="s">
        <v>174</v>
      </c>
      <c r="I44" s="34" t="s">
        <v>174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94</v>
      </c>
      <c r="B45" s="29"/>
      <c r="C45" s="29"/>
      <c r="D45" s="29"/>
      <c r="E45" s="30">
        <v>203</v>
      </c>
      <c r="F45" s="30">
        <v>203</v>
      </c>
      <c r="G45" s="29"/>
      <c r="H45" s="30">
        <v>189</v>
      </c>
      <c r="I45" s="30">
        <v>189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95</v>
      </c>
      <c r="B46" s="29"/>
      <c r="C46" s="29"/>
      <c r="D46" s="29"/>
      <c r="E46" s="33">
        <v>0.92</v>
      </c>
      <c r="F46" s="33">
        <v>0.92</v>
      </c>
      <c r="G46" s="29"/>
      <c r="H46" s="33">
        <v>0.78</v>
      </c>
      <c r="I46" s="33">
        <v>0.78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96</v>
      </c>
      <c r="B47" s="29"/>
      <c r="C47" s="29"/>
      <c r="D47" s="29"/>
      <c r="E47" s="34" t="s">
        <v>124</v>
      </c>
      <c r="F47" s="34" t="s">
        <v>124</v>
      </c>
      <c r="G47" s="29"/>
      <c r="H47" s="34" t="s">
        <v>124</v>
      </c>
      <c r="I47" s="34" t="s">
        <v>124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99</v>
      </c>
      <c r="B48" s="29"/>
      <c r="C48" s="29"/>
      <c r="D48" s="29"/>
      <c r="E48" s="35">
        <v>1.032</v>
      </c>
      <c r="F48" s="35">
        <v>1.032</v>
      </c>
      <c r="G48" s="29"/>
      <c r="H48" s="35">
        <v>1.032</v>
      </c>
      <c r="I48" s="35">
        <v>1.032</v>
      </c>
      <c r="J48" s="29"/>
      <c r="K48" s="35">
        <v>1.032</v>
      </c>
      <c r="L48" s="35">
        <v>1.032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100</v>
      </c>
      <c r="B49" s="29"/>
      <c r="C49" s="29"/>
      <c r="D49" s="29"/>
      <c r="E49" s="35">
        <v>1.0580000000000001</v>
      </c>
      <c r="F49" s="35">
        <v>1.0580000000000001</v>
      </c>
      <c r="G49" s="29"/>
      <c r="H49" s="35">
        <v>1.026</v>
      </c>
      <c r="I49" s="35">
        <v>1.026</v>
      </c>
      <c r="J49" s="29"/>
      <c r="K49" s="35">
        <v>1.0009999999999999</v>
      </c>
      <c r="L49" s="35">
        <v>1.0009999999999999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101</v>
      </c>
      <c r="B50" s="29"/>
      <c r="C50" s="29"/>
      <c r="D50" s="29"/>
      <c r="E50" s="35">
        <v>0.5</v>
      </c>
      <c r="F50" s="35">
        <v>0.5</v>
      </c>
      <c r="G50" s="29"/>
      <c r="H50" s="35">
        <v>0.5</v>
      </c>
      <c r="I50" s="35">
        <v>0.5</v>
      </c>
      <c r="J50" s="29"/>
      <c r="K50" s="35">
        <v>0.5</v>
      </c>
      <c r="L50" s="35">
        <v>0.5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1.25" customHeight="1" x14ac:dyDescent="0.25">
      <c r="A51" s="32" t="s">
        <v>102</v>
      </c>
      <c r="B51" s="29"/>
      <c r="C51" s="29"/>
      <c r="D51" s="29"/>
      <c r="E51" s="35">
        <v>2</v>
      </c>
      <c r="F51" s="35">
        <v>2</v>
      </c>
      <c r="G51" s="29"/>
      <c r="H51" s="35">
        <v>2</v>
      </c>
      <c r="I51" s="35">
        <v>2</v>
      </c>
      <c r="J51" s="29"/>
      <c r="K51" s="35">
        <v>2</v>
      </c>
      <c r="L51" s="35">
        <v>2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14.25" customHeight="1" x14ac:dyDescent="0.25">
      <c r="A52" s="23" t="s">
        <v>103</v>
      </c>
    </row>
    <row r="53" spans="1:22" ht="11.45" customHeight="1" x14ac:dyDescent="0.25">
      <c r="A53" s="36" t="s">
        <v>175</v>
      </c>
    </row>
    <row r="54" spans="1:22" ht="11.45" customHeight="1" x14ac:dyDescent="0.25">
      <c r="A54" s="24" t="s">
        <v>176</v>
      </c>
    </row>
    <row r="55" spans="1:22" ht="11.45" customHeight="1" x14ac:dyDescent="0.25">
      <c r="A55" s="36" t="s">
        <v>106</v>
      </c>
    </row>
    <row r="56" spans="1:22" ht="11.45" customHeight="1" x14ac:dyDescent="0.25">
      <c r="A56" s="36" t="s">
        <v>107</v>
      </c>
    </row>
  </sheetData>
  <mergeCells count="8">
    <mergeCell ref="Q15:S15"/>
    <mergeCell ref="T15:V15"/>
    <mergeCell ref="A15:A16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13"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177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109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155</v>
      </c>
    </row>
    <row r="8" spans="1:22" ht="14.25" customHeight="1" x14ac:dyDescent="0.25">
      <c r="A8" s="23" t="s">
        <v>155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156</v>
      </c>
    </row>
    <row r="11" spans="1:22" ht="14.25" customHeight="1" x14ac:dyDescent="0.25">
      <c r="A11" s="23" t="s">
        <v>178</v>
      </c>
    </row>
    <row r="12" spans="1:22" ht="14.25" customHeight="1" x14ac:dyDescent="0.25">
      <c r="A12" s="23" t="s">
        <v>53</v>
      </c>
    </row>
    <row r="13" spans="1:22" ht="14.25" customHeight="1" x14ac:dyDescent="0.25">
      <c r="A13" s="23" t="s">
        <v>158</v>
      </c>
    </row>
    <row r="14" spans="1:22" ht="14.25" customHeight="1" x14ac:dyDescent="0.25">
      <c r="A14" s="23" t="s">
        <v>158</v>
      </c>
    </row>
    <row r="15" spans="1:22" ht="11.25" customHeight="1" x14ac:dyDescent="0.25">
      <c r="A15" s="171"/>
      <c r="B15" s="168" t="s">
        <v>111</v>
      </c>
      <c r="C15" s="169"/>
      <c r="D15" s="170"/>
      <c r="E15" s="168" t="s">
        <v>112</v>
      </c>
      <c r="F15" s="169"/>
      <c r="G15" s="170"/>
      <c r="H15" s="168" t="s">
        <v>113</v>
      </c>
      <c r="I15" s="169"/>
      <c r="J15" s="170"/>
      <c r="K15" s="168" t="s">
        <v>114</v>
      </c>
      <c r="L15" s="169"/>
      <c r="M15" s="170"/>
      <c r="N15" s="168" t="s">
        <v>115</v>
      </c>
      <c r="O15" s="169"/>
      <c r="P15" s="170"/>
      <c r="Q15" s="168" t="s">
        <v>116</v>
      </c>
      <c r="R15" s="169"/>
      <c r="S15" s="170"/>
      <c r="T15" s="168" t="s">
        <v>117</v>
      </c>
      <c r="U15" s="169"/>
      <c r="V15" s="170"/>
    </row>
    <row r="16" spans="1:22" ht="11.25" customHeight="1" x14ac:dyDescent="0.25">
      <c r="A16" s="172"/>
      <c r="B16" s="26" t="s">
        <v>62</v>
      </c>
      <c r="C16" s="27" t="s">
        <v>63</v>
      </c>
      <c r="D16" s="27" t="s">
        <v>64</v>
      </c>
      <c r="E16" s="26" t="s">
        <v>62</v>
      </c>
      <c r="F16" s="27" t="s">
        <v>63</v>
      </c>
      <c r="G16" s="27" t="s">
        <v>64</v>
      </c>
      <c r="H16" s="26" t="s">
        <v>62</v>
      </c>
      <c r="I16" s="27" t="s">
        <v>63</v>
      </c>
      <c r="J16" s="27" t="s">
        <v>64</v>
      </c>
      <c r="K16" s="28" t="s">
        <v>62</v>
      </c>
      <c r="L16" s="27" t="s">
        <v>63</v>
      </c>
      <c r="M16" s="27" t="s">
        <v>64</v>
      </c>
      <c r="N16" s="26" t="s">
        <v>62</v>
      </c>
      <c r="O16" s="27" t="s">
        <v>63</v>
      </c>
      <c r="P16" s="27" t="s">
        <v>64</v>
      </c>
      <c r="Q16" s="26" t="s">
        <v>62</v>
      </c>
      <c r="R16" s="27" t="s">
        <v>63</v>
      </c>
      <c r="S16" s="27" t="s">
        <v>64</v>
      </c>
      <c r="T16" s="26" t="s">
        <v>62</v>
      </c>
      <c r="U16" s="27" t="s">
        <v>63</v>
      </c>
      <c r="V16" s="27" t="s">
        <v>64</v>
      </c>
    </row>
    <row r="17" spans="1:22" ht="11.25" customHeight="1" x14ac:dyDescent="0.25">
      <c r="A17" s="27" t="s">
        <v>65</v>
      </c>
      <c r="B17" s="29"/>
      <c r="C17" s="29"/>
      <c r="D17" s="29"/>
      <c r="E17" s="29"/>
      <c r="F17" s="29"/>
      <c r="G17" s="29"/>
      <c r="H17" s="30">
        <v>14</v>
      </c>
      <c r="I17" s="30">
        <v>14</v>
      </c>
      <c r="J17" s="29"/>
      <c r="K17" s="30">
        <v>14</v>
      </c>
      <c r="L17" s="30">
        <v>14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66</v>
      </c>
      <c r="B18" s="29"/>
      <c r="C18" s="29"/>
      <c r="D18" s="29"/>
      <c r="E18" s="29"/>
      <c r="F18" s="29"/>
      <c r="G18" s="29"/>
      <c r="H18" s="30">
        <v>2</v>
      </c>
      <c r="I18" s="30">
        <v>2</v>
      </c>
      <c r="J18" s="29"/>
      <c r="K18" s="30">
        <v>1</v>
      </c>
      <c r="L18" s="30">
        <v>1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67</v>
      </c>
      <c r="B19" s="29"/>
      <c r="C19" s="29"/>
      <c r="D19" s="29"/>
      <c r="E19" s="29"/>
      <c r="F19" s="29"/>
      <c r="G19" s="29"/>
      <c r="H19" s="30">
        <v>7</v>
      </c>
      <c r="I19" s="30">
        <v>7</v>
      </c>
      <c r="J19" s="29"/>
      <c r="K19" s="30">
        <v>4</v>
      </c>
      <c r="L19" s="30">
        <v>4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68</v>
      </c>
      <c r="B20" s="29"/>
      <c r="C20" s="29"/>
      <c r="D20" s="29"/>
      <c r="E20" s="29"/>
      <c r="F20" s="29"/>
      <c r="G20" s="29"/>
      <c r="H20" s="30">
        <v>1</v>
      </c>
      <c r="I20" s="30">
        <v>1</v>
      </c>
      <c r="J20" s="29"/>
      <c r="K20" s="30">
        <v>3</v>
      </c>
      <c r="L20" s="30">
        <v>3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69</v>
      </c>
      <c r="B21" s="29"/>
      <c r="C21" s="29"/>
      <c r="D21" s="29"/>
      <c r="E21" s="29"/>
      <c r="F21" s="29"/>
      <c r="G21" s="29"/>
      <c r="H21" s="30">
        <v>6</v>
      </c>
      <c r="I21" s="30">
        <v>6</v>
      </c>
      <c r="J21" s="29"/>
      <c r="K21" s="30">
        <v>6</v>
      </c>
      <c r="L21" s="30">
        <v>6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70</v>
      </c>
      <c r="B22" s="29"/>
      <c r="C22" s="29"/>
      <c r="D22" s="29"/>
      <c r="E22" s="29"/>
      <c r="F22" s="29"/>
      <c r="G22" s="29"/>
      <c r="H22" s="30">
        <v>12</v>
      </c>
      <c r="I22" s="30">
        <v>12</v>
      </c>
      <c r="J22" s="29"/>
      <c r="K22" s="30">
        <v>13</v>
      </c>
      <c r="L22" s="30">
        <v>13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71</v>
      </c>
      <c r="B23" s="29"/>
      <c r="C23" s="29"/>
      <c r="D23" s="29"/>
      <c r="E23" s="29"/>
      <c r="F23" s="29"/>
      <c r="G23" s="29"/>
      <c r="H23" s="30">
        <v>38</v>
      </c>
      <c r="I23" s="30">
        <v>38</v>
      </c>
      <c r="J23" s="29"/>
      <c r="K23" s="30">
        <v>35</v>
      </c>
      <c r="L23" s="30">
        <v>35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72</v>
      </c>
      <c r="B24" s="29"/>
      <c r="C24" s="29"/>
      <c r="D24" s="29"/>
      <c r="E24" s="29"/>
      <c r="F24" s="29"/>
      <c r="G24" s="29"/>
      <c r="H24" s="30">
        <v>49</v>
      </c>
      <c r="I24" s="30">
        <v>49</v>
      </c>
      <c r="J24" s="29"/>
      <c r="K24" s="30">
        <v>38</v>
      </c>
      <c r="L24" s="30">
        <v>38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73</v>
      </c>
      <c r="B25" s="29"/>
      <c r="C25" s="29"/>
      <c r="D25" s="29"/>
      <c r="E25" s="29"/>
      <c r="F25" s="29"/>
      <c r="G25" s="29"/>
      <c r="H25" s="30">
        <v>55</v>
      </c>
      <c r="I25" s="30">
        <v>55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74</v>
      </c>
      <c r="B26" s="29"/>
      <c r="C26" s="29"/>
      <c r="D26" s="29"/>
      <c r="E26" s="29"/>
      <c r="F26" s="29"/>
      <c r="G26" s="29"/>
      <c r="H26" s="30">
        <v>56</v>
      </c>
      <c r="I26" s="30">
        <v>56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75</v>
      </c>
      <c r="B27" s="29"/>
      <c r="C27" s="29"/>
      <c r="D27" s="29"/>
      <c r="E27" s="30">
        <v>48</v>
      </c>
      <c r="F27" s="30">
        <v>48</v>
      </c>
      <c r="G27" s="29"/>
      <c r="H27" s="30">
        <v>49</v>
      </c>
      <c r="I27" s="30">
        <v>49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76</v>
      </c>
      <c r="B28" s="29"/>
      <c r="C28" s="29"/>
      <c r="D28" s="29"/>
      <c r="E28" s="30">
        <v>65</v>
      </c>
      <c r="F28" s="30">
        <v>65</v>
      </c>
      <c r="G28" s="29"/>
      <c r="H28" s="30">
        <v>76</v>
      </c>
      <c r="I28" s="30">
        <v>76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77</v>
      </c>
      <c r="B29" s="29"/>
      <c r="C29" s="29"/>
      <c r="D29" s="29"/>
      <c r="E29" s="30">
        <v>74</v>
      </c>
      <c r="F29" s="30">
        <v>74</v>
      </c>
      <c r="G29" s="29"/>
      <c r="H29" s="30">
        <v>73</v>
      </c>
      <c r="I29" s="30">
        <v>73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78</v>
      </c>
      <c r="B30" s="29"/>
      <c r="C30" s="29"/>
      <c r="D30" s="29"/>
      <c r="E30" s="30">
        <v>84</v>
      </c>
      <c r="F30" s="30">
        <v>84</v>
      </c>
      <c r="G30" s="29"/>
      <c r="H30" s="30">
        <v>76</v>
      </c>
      <c r="I30" s="30">
        <v>76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79</v>
      </c>
      <c r="B31" s="29"/>
      <c r="C31" s="29"/>
      <c r="D31" s="29"/>
      <c r="E31" s="30">
        <v>86</v>
      </c>
      <c r="F31" s="30">
        <v>86</v>
      </c>
      <c r="G31" s="29"/>
      <c r="H31" s="30">
        <v>81</v>
      </c>
      <c r="I31" s="30">
        <v>81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80</v>
      </c>
      <c r="B32" s="29"/>
      <c r="C32" s="29"/>
      <c r="D32" s="29"/>
      <c r="E32" s="30">
        <v>128</v>
      </c>
      <c r="F32" s="30">
        <v>128</v>
      </c>
      <c r="G32" s="29"/>
      <c r="H32" s="30">
        <v>153</v>
      </c>
      <c r="I32" s="30">
        <v>153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81</v>
      </c>
      <c r="B33" s="29"/>
      <c r="C33" s="29"/>
      <c r="D33" s="29"/>
      <c r="E33" s="30">
        <v>154</v>
      </c>
      <c r="F33" s="30">
        <v>154</v>
      </c>
      <c r="G33" s="29"/>
      <c r="H33" s="30">
        <v>198</v>
      </c>
      <c r="I33" s="30">
        <v>198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82</v>
      </c>
      <c r="B34" s="29"/>
      <c r="C34" s="29"/>
      <c r="D34" s="29"/>
      <c r="E34" s="30">
        <v>216</v>
      </c>
      <c r="F34" s="30">
        <v>216</v>
      </c>
      <c r="G34" s="29"/>
      <c r="H34" s="30">
        <v>245</v>
      </c>
      <c r="I34" s="30">
        <v>245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83</v>
      </c>
      <c r="B35" s="29"/>
      <c r="C35" s="29"/>
      <c r="D35" s="29"/>
      <c r="E35" s="30">
        <v>131</v>
      </c>
      <c r="F35" s="30">
        <v>131</v>
      </c>
      <c r="G35" s="29"/>
      <c r="H35" s="30">
        <v>151</v>
      </c>
      <c r="I35" s="30">
        <v>151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84</v>
      </c>
      <c r="B36" s="29"/>
      <c r="C36" s="29"/>
      <c r="D36" s="29"/>
      <c r="E36" s="30">
        <v>92</v>
      </c>
      <c r="F36" s="30">
        <v>92</v>
      </c>
      <c r="G36" s="29"/>
      <c r="H36" s="30">
        <v>100</v>
      </c>
      <c r="I36" s="30">
        <v>100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85</v>
      </c>
      <c r="B37" s="29"/>
      <c r="C37" s="29"/>
      <c r="D37" s="29"/>
      <c r="E37" s="30">
        <v>63</v>
      </c>
      <c r="F37" s="30">
        <v>63</v>
      </c>
      <c r="G37" s="29"/>
      <c r="H37" s="30">
        <v>73</v>
      </c>
      <c r="I37" s="30">
        <v>73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86</v>
      </c>
      <c r="B38" s="29"/>
      <c r="C38" s="29"/>
      <c r="D38" s="29"/>
      <c r="E38" s="30">
        <v>53</v>
      </c>
      <c r="F38" s="30">
        <v>53</v>
      </c>
      <c r="G38" s="29"/>
      <c r="H38" s="30">
        <v>59</v>
      </c>
      <c r="I38" s="30">
        <v>59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87</v>
      </c>
      <c r="B39" s="29"/>
      <c r="C39" s="29"/>
      <c r="D39" s="29"/>
      <c r="E39" s="30">
        <v>25</v>
      </c>
      <c r="F39" s="30">
        <v>25</v>
      </c>
      <c r="G39" s="29"/>
      <c r="H39" s="30">
        <v>30</v>
      </c>
      <c r="I39" s="30">
        <v>30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88</v>
      </c>
      <c r="B40" s="29"/>
      <c r="C40" s="29"/>
      <c r="D40" s="29"/>
      <c r="E40" s="30">
        <v>18</v>
      </c>
      <c r="F40" s="30">
        <v>18</v>
      </c>
      <c r="G40" s="29"/>
      <c r="H40" s="30">
        <v>19</v>
      </c>
      <c r="I40" s="30">
        <v>19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27" t="s">
        <v>89</v>
      </c>
      <c r="B41" s="29"/>
      <c r="C41" s="29"/>
      <c r="D41" s="29"/>
      <c r="E41" s="31">
        <v>1237</v>
      </c>
      <c r="F41" s="31">
        <v>1237</v>
      </c>
      <c r="G41" s="29"/>
      <c r="H41" s="31">
        <v>1623</v>
      </c>
      <c r="I41" s="31">
        <v>1623</v>
      </c>
      <c r="J41" s="29"/>
      <c r="K41" s="30">
        <v>114</v>
      </c>
      <c r="L41" s="30">
        <v>114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90</v>
      </c>
      <c r="B42" s="29"/>
      <c r="C42" s="29"/>
      <c r="D42" s="29"/>
      <c r="E42" s="29"/>
      <c r="F42" s="29"/>
      <c r="G42" s="29"/>
      <c r="H42" s="30">
        <v>76</v>
      </c>
      <c r="I42" s="30">
        <v>76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91</v>
      </c>
      <c r="B43" s="29"/>
      <c r="C43" s="29"/>
      <c r="D43" s="29"/>
      <c r="E43" s="29"/>
      <c r="F43" s="29"/>
      <c r="G43" s="29"/>
      <c r="H43" s="33">
        <v>0.79</v>
      </c>
      <c r="I43" s="33">
        <v>0.79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92</v>
      </c>
      <c r="B44" s="29"/>
      <c r="C44" s="29"/>
      <c r="D44" s="29"/>
      <c r="E44" s="29"/>
      <c r="F44" s="29"/>
      <c r="G44" s="29"/>
      <c r="H44" s="34" t="s">
        <v>93</v>
      </c>
      <c r="I44" s="34" t="s">
        <v>93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94</v>
      </c>
      <c r="B45" s="29"/>
      <c r="C45" s="29"/>
      <c r="D45" s="29"/>
      <c r="E45" s="30">
        <v>216</v>
      </c>
      <c r="F45" s="30">
        <v>216</v>
      </c>
      <c r="G45" s="29"/>
      <c r="H45" s="30">
        <v>247</v>
      </c>
      <c r="I45" s="30">
        <v>247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95</v>
      </c>
      <c r="B46" s="29"/>
      <c r="C46" s="29"/>
      <c r="D46" s="29"/>
      <c r="E46" s="33">
        <v>0.79</v>
      </c>
      <c r="F46" s="33">
        <v>0.79</v>
      </c>
      <c r="G46" s="29"/>
      <c r="H46" s="33">
        <v>0.94</v>
      </c>
      <c r="I46" s="33">
        <v>0.94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96</v>
      </c>
      <c r="B47" s="29"/>
      <c r="C47" s="29"/>
      <c r="D47" s="29"/>
      <c r="E47" s="34" t="s">
        <v>119</v>
      </c>
      <c r="F47" s="34" t="s">
        <v>119</v>
      </c>
      <c r="G47" s="29"/>
      <c r="H47" s="34" t="s">
        <v>118</v>
      </c>
      <c r="I47" s="34" t="s">
        <v>118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99</v>
      </c>
      <c r="B48" s="29"/>
      <c r="C48" s="29"/>
      <c r="D48" s="29"/>
      <c r="E48" s="35">
        <v>1.032</v>
      </c>
      <c r="F48" s="35">
        <v>1.032</v>
      </c>
      <c r="G48" s="29"/>
      <c r="H48" s="35">
        <v>1.032</v>
      </c>
      <c r="I48" s="35">
        <v>1.032</v>
      </c>
      <c r="J48" s="29"/>
      <c r="K48" s="35">
        <v>1.032</v>
      </c>
      <c r="L48" s="35">
        <v>1.032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100</v>
      </c>
      <c r="B49" s="29"/>
      <c r="C49" s="29"/>
      <c r="D49" s="29"/>
      <c r="E49" s="35">
        <v>1.0580000000000001</v>
      </c>
      <c r="F49" s="35">
        <v>1.0580000000000001</v>
      </c>
      <c r="G49" s="29"/>
      <c r="H49" s="35">
        <v>1.026</v>
      </c>
      <c r="I49" s="35">
        <v>1.026</v>
      </c>
      <c r="J49" s="29"/>
      <c r="K49" s="35">
        <v>1.0009999999999999</v>
      </c>
      <c r="L49" s="35">
        <v>1.0009999999999999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101</v>
      </c>
      <c r="B50" s="29"/>
      <c r="C50" s="29"/>
      <c r="D50" s="29"/>
      <c r="E50" s="35">
        <v>0.5</v>
      </c>
      <c r="F50" s="35">
        <v>0.5</v>
      </c>
      <c r="G50" s="29"/>
      <c r="H50" s="35">
        <v>0.5</v>
      </c>
      <c r="I50" s="35">
        <v>0.5</v>
      </c>
      <c r="J50" s="29"/>
      <c r="K50" s="35">
        <v>0.5</v>
      </c>
      <c r="L50" s="35">
        <v>0.5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1.25" customHeight="1" x14ac:dyDescent="0.25">
      <c r="A51" s="32" t="s">
        <v>102</v>
      </c>
      <c r="B51" s="29"/>
      <c r="C51" s="29"/>
      <c r="D51" s="29"/>
      <c r="E51" s="35">
        <v>2</v>
      </c>
      <c r="F51" s="35">
        <v>2</v>
      </c>
      <c r="G51" s="29"/>
      <c r="H51" s="35">
        <v>2</v>
      </c>
      <c r="I51" s="35">
        <v>2</v>
      </c>
      <c r="J51" s="29"/>
      <c r="K51" s="35">
        <v>2</v>
      </c>
      <c r="L51" s="35">
        <v>2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14.25" customHeight="1" x14ac:dyDescent="0.25">
      <c r="A52" s="23" t="s">
        <v>103</v>
      </c>
    </row>
    <row r="53" spans="1:22" ht="11.45" customHeight="1" x14ac:dyDescent="0.25">
      <c r="A53" s="36" t="s">
        <v>179</v>
      </c>
    </row>
    <row r="54" spans="1:22" ht="11.45" customHeight="1" x14ac:dyDescent="0.25">
      <c r="A54" s="24" t="s">
        <v>180</v>
      </c>
    </row>
    <row r="55" spans="1:22" ht="11.45" customHeight="1" x14ac:dyDescent="0.25">
      <c r="A55" s="36" t="s">
        <v>106</v>
      </c>
    </row>
    <row r="56" spans="1:22" ht="11.45" customHeight="1" x14ac:dyDescent="0.25">
      <c r="A56" s="36" t="s">
        <v>107</v>
      </c>
    </row>
  </sheetData>
  <mergeCells count="8">
    <mergeCell ref="Q15:S15"/>
    <mergeCell ref="T15:V15"/>
    <mergeCell ref="A15:A16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3"/>
  <sheetViews>
    <sheetView zoomScale="55" zoomScaleNormal="55" workbookViewId="0">
      <selection activeCell="E45" sqref="E45"/>
    </sheetView>
  </sheetViews>
  <sheetFormatPr defaultRowHeight="15" x14ac:dyDescent="0.25"/>
  <cols>
    <col min="1" max="1" width="23.85546875" bestFit="1" customWidth="1"/>
    <col min="2" max="2" width="15.85546875" bestFit="1" customWidth="1"/>
    <col min="3" max="3" width="36.28515625" bestFit="1" customWidth="1"/>
    <col min="4" max="4" width="28.85546875" bestFit="1" customWidth="1"/>
    <col min="5" max="5" width="45.85546875" bestFit="1" customWidth="1"/>
    <col min="6" max="6" width="36.7109375" bestFit="1" customWidth="1"/>
    <col min="7" max="7" width="33" bestFit="1" customWidth="1"/>
    <col min="8" max="8" width="40.140625" bestFit="1" customWidth="1"/>
    <col min="9" max="9" width="32.85546875" bestFit="1" customWidth="1"/>
    <col min="10" max="10" width="35.7109375" bestFit="1" customWidth="1"/>
    <col min="11" max="11" width="23.42578125" bestFit="1" customWidth="1"/>
    <col min="12" max="12" width="31.7109375" bestFit="1" customWidth="1"/>
    <col min="13" max="13" width="23.42578125" bestFit="1" customWidth="1"/>
    <col min="14" max="14" width="35.7109375" bestFit="1" customWidth="1"/>
    <col min="15" max="15" width="32.85546875" bestFit="1" customWidth="1"/>
    <col min="16" max="16" width="40.140625" bestFit="1" customWidth="1"/>
    <col min="17" max="17" width="35.7109375" bestFit="1" customWidth="1"/>
    <col min="18" max="18" width="36.7109375" bestFit="1" customWidth="1"/>
  </cols>
  <sheetData>
    <row r="1" spans="1:18" x14ac:dyDescent="0.25">
      <c r="A1" s="14">
        <v>2017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t="s">
        <v>39</v>
      </c>
      <c r="B2" s="16"/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</row>
    <row r="3" spans="1:18" x14ac:dyDescent="0.25">
      <c r="B3" s="16" t="s">
        <v>203</v>
      </c>
      <c r="C3" s="16" t="s">
        <v>252</v>
      </c>
      <c r="D3" s="94" t="s">
        <v>251</v>
      </c>
      <c r="E3" s="16" t="s">
        <v>250</v>
      </c>
      <c r="F3" s="17" t="s">
        <v>189</v>
      </c>
      <c r="G3" s="17" t="s">
        <v>190</v>
      </c>
      <c r="H3" s="17" t="s">
        <v>191</v>
      </c>
      <c r="I3" s="17" t="s">
        <v>192</v>
      </c>
      <c r="J3" s="17" t="s">
        <v>193</v>
      </c>
      <c r="K3" s="17" t="s">
        <v>194</v>
      </c>
      <c r="L3" s="17" t="s">
        <v>195</v>
      </c>
      <c r="M3" s="17" t="s">
        <v>196</v>
      </c>
      <c r="N3" s="17" t="s">
        <v>197</v>
      </c>
      <c r="O3" s="17" t="s">
        <v>198</v>
      </c>
      <c r="P3" s="17" t="s">
        <v>199</v>
      </c>
      <c r="Q3" s="17" t="s">
        <v>200</v>
      </c>
      <c r="R3" s="17" t="s">
        <v>201</v>
      </c>
    </row>
    <row r="4" spans="1:18" x14ac:dyDescent="0.25">
      <c r="B4" s="16" t="s">
        <v>6</v>
      </c>
      <c r="F4" s="17"/>
      <c r="G4" s="17" t="s">
        <v>9</v>
      </c>
      <c r="H4" s="17"/>
      <c r="I4" s="17" t="s">
        <v>13</v>
      </c>
      <c r="J4" s="17"/>
      <c r="K4" s="42" t="s">
        <v>17</v>
      </c>
      <c r="M4" s="17" t="s">
        <v>21</v>
      </c>
      <c r="N4" s="17" t="s">
        <v>24</v>
      </c>
      <c r="O4" s="17" t="s">
        <v>27</v>
      </c>
      <c r="P4" s="17"/>
      <c r="Q4" s="17" t="s">
        <v>31</v>
      </c>
    </row>
    <row r="5" spans="1:18" x14ac:dyDescent="0.25">
      <c r="A5" s="17"/>
      <c r="B5" s="16" t="s">
        <v>202</v>
      </c>
      <c r="C5" s="17" t="s">
        <v>40</v>
      </c>
      <c r="D5" s="17" t="s">
        <v>42</v>
      </c>
      <c r="E5" s="17" t="s">
        <v>40</v>
      </c>
      <c r="F5" s="17" t="s">
        <v>40</v>
      </c>
      <c r="G5" s="17" t="s">
        <v>41</v>
      </c>
      <c r="H5" s="17" t="s">
        <v>40</v>
      </c>
      <c r="I5" s="17" t="s">
        <v>42</v>
      </c>
      <c r="J5" s="17" t="s">
        <v>40</v>
      </c>
      <c r="K5" s="17" t="s">
        <v>41</v>
      </c>
      <c r="L5" s="17" t="s">
        <v>40</v>
      </c>
      <c r="M5" s="17" t="s">
        <v>42</v>
      </c>
      <c r="N5" s="17" t="s">
        <v>40</v>
      </c>
      <c r="O5" s="17" t="s">
        <v>41</v>
      </c>
      <c r="P5" s="17" t="s">
        <v>40</v>
      </c>
      <c r="Q5" s="17" t="s">
        <v>42</v>
      </c>
      <c r="R5" s="17" t="s">
        <v>40</v>
      </c>
    </row>
    <row r="6" spans="1:18" x14ac:dyDescent="0.25">
      <c r="A6" s="17"/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38">
        <f>SUM(F7:R7)</f>
        <v>2181</v>
      </c>
      <c r="B7" s="20">
        <v>0</v>
      </c>
      <c r="C7" s="42">
        <f>E7-D7</f>
        <v>401</v>
      </c>
      <c r="D7" s="112">
        <v>16</v>
      </c>
      <c r="E7" s="92">
        <f>F7</f>
        <v>417</v>
      </c>
      <c r="F7" s="21">
        <f>H7+G7</f>
        <v>417</v>
      </c>
      <c r="G7" s="21">
        <f>MAX('019-010154-3'!F16,'019-010154-3'!I16,'019-010154-3'!L16)</f>
        <v>109</v>
      </c>
      <c r="H7" s="21">
        <f>J7-I7</f>
        <v>308</v>
      </c>
      <c r="I7" s="21">
        <f>MAX('019-010295-3'!F16,'019-010295-3'!I16,'019-010295-3'!L16)</f>
        <v>14</v>
      </c>
      <c r="J7" s="21">
        <f>L7+K7</f>
        <v>322</v>
      </c>
      <c r="K7" s="21">
        <f>MAX('019-010155-3'!F16,'019-010155-3'!I16,'019-010155-3'!L16)</f>
        <v>125</v>
      </c>
      <c r="L7" s="21">
        <f>N7-M7</f>
        <v>197</v>
      </c>
      <c r="M7" s="21">
        <f>MAX('019-009733-2'!G16,'019-009733-2'!J16,'019-009733-2'!M16)</f>
        <v>23</v>
      </c>
      <c r="N7" s="21">
        <f>MAX('019-000177-3'!F16,'019-000177-3'!I16,'019-000177-3'!L16)</f>
        <v>220</v>
      </c>
      <c r="O7" s="21">
        <f>MAX('019-000589-3'!F17,'019-000589-3'!I17,'019-000589-3'!L17)</f>
        <v>14</v>
      </c>
      <c r="P7" s="21">
        <f>N7-O7</f>
        <v>206</v>
      </c>
      <c r="Q7" s="21">
        <f>MAX('019-000590-3'!F17,'019-000590-3'!I17,'019-000590-3'!L17)</f>
        <v>10</v>
      </c>
      <c r="R7" s="37">
        <f>P7+Q7</f>
        <v>216</v>
      </c>
    </row>
    <row r="8" spans="1:18" x14ac:dyDescent="0.25">
      <c r="A8" s="38">
        <f t="shared" ref="A8:A30" si="0">SUM(F8:R8)</f>
        <v>1768</v>
      </c>
      <c r="B8" s="20">
        <v>4.1666666666666664E-2</v>
      </c>
      <c r="C8" s="42">
        <f t="shared" ref="C8:C30" si="1">E8-D8</f>
        <v>314</v>
      </c>
      <c r="D8" s="112">
        <v>13</v>
      </c>
      <c r="E8" s="92">
        <f t="shared" ref="E8:E30" si="2">F8</f>
        <v>327</v>
      </c>
      <c r="F8" s="21">
        <f t="shared" ref="F8:F30" si="3">H8+G8</f>
        <v>327</v>
      </c>
      <c r="G8" s="21">
        <f>MAX('019-010154-3'!F17,'019-010154-3'!I17,'019-010154-3'!L17)</f>
        <v>81</v>
      </c>
      <c r="H8" s="21">
        <f t="shared" ref="H8:H30" si="4">J8-I8</f>
        <v>246</v>
      </c>
      <c r="I8" s="21">
        <f>MAX('019-010295-3'!F17,'019-010295-3'!I17,'019-010295-3'!L17)</f>
        <v>16</v>
      </c>
      <c r="J8" s="21">
        <f t="shared" ref="J8:J30" si="5">L8+K8</f>
        <v>262</v>
      </c>
      <c r="K8" s="21">
        <f>MAX('019-010155-3'!F17,'019-010155-3'!I17,'019-010155-3'!L17)</f>
        <v>98</v>
      </c>
      <c r="L8" s="21">
        <f t="shared" ref="L8:L30" si="6">N8-M8</f>
        <v>164</v>
      </c>
      <c r="M8" s="21">
        <f>MAX('019-009733-2'!G17,'019-009733-2'!J17,'019-009733-2'!M17)</f>
        <v>18</v>
      </c>
      <c r="N8" s="21">
        <f>MAX('019-000177-3'!F17,'019-000177-3'!I17,'019-000177-3'!L17)</f>
        <v>182</v>
      </c>
      <c r="O8" s="21">
        <f>MAX('019-000589-3'!F18,'019-000589-3'!I18,'019-000589-3'!L18)</f>
        <v>2</v>
      </c>
      <c r="P8" s="21">
        <f t="shared" ref="P8:P30" si="7">N8-O8</f>
        <v>180</v>
      </c>
      <c r="Q8" s="21">
        <f>MAX('019-000590-3'!F18,'019-000590-3'!I18,'019-000590-3'!L18)</f>
        <v>6</v>
      </c>
      <c r="R8" s="37">
        <f t="shared" ref="R8:R30" si="8">P8+Q8</f>
        <v>186</v>
      </c>
    </row>
    <row r="9" spans="1:18" x14ac:dyDescent="0.25">
      <c r="A9" s="38">
        <f t="shared" si="0"/>
        <v>1394</v>
      </c>
      <c r="B9" s="20">
        <v>8.3333333333333301E-2</v>
      </c>
      <c r="C9" s="42">
        <f t="shared" si="1"/>
        <v>219</v>
      </c>
      <c r="D9" s="112">
        <v>11</v>
      </c>
      <c r="E9" s="92">
        <f t="shared" si="2"/>
        <v>230</v>
      </c>
      <c r="F9" s="21">
        <f t="shared" si="3"/>
        <v>230</v>
      </c>
      <c r="G9" s="21">
        <f>MAX('019-010154-3'!F18,'019-010154-3'!I18,'019-010154-3'!L18)</f>
        <v>49</v>
      </c>
      <c r="H9" s="21">
        <f t="shared" si="4"/>
        <v>181</v>
      </c>
      <c r="I9" s="21">
        <f>MAX('019-010295-3'!F18,'019-010295-3'!I18,'019-010295-3'!L18)</f>
        <v>18</v>
      </c>
      <c r="J9" s="21">
        <f t="shared" si="5"/>
        <v>199</v>
      </c>
      <c r="K9" s="21">
        <f>MAX('019-010155-3'!F18,'019-010155-3'!I18,'019-010155-3'!L18)</f>
        <v>44</v>
      </c>
      <c r="L9" s="21">
        <f t="shared" si="6"/>
        <v>155</v>
      </c>
      <c r="M9" s="21">
        <f>MAX('019-009733-2'!G18,'019-009733-2'!J18,'019-009733-2'!M18)</f>
        <v>14</v>
      </c>
      <c r="N9" s="21">
        <f>MAX('019-000177-3'!F18,'019-000177-3'!I18,'019-000177-3'!L18)</f>
        <v>169</v>
      </c>
      <c r="O9" s="21">
        <f>MAX('019-000589-3'!F19,'019-000589-3'!I19,'019-000589-3'!L19)</f>
        <v>7</v>
      </c>
      <c r="P9" s="21">
        <f t="shared" si="7"/>
        <v>162</v>
      </c>
      <c r="Q9" s="21">
        <f>MAX('019-000590-3'!F19,'019-000590-3'!I19,'019-000590-3'!L19)</f>
        <v>2</v>
      </c>
      <c r="R9" s="37">
        <f t="shared" si="8"/>
        <v>164</v>
      </c>
    </row>
    <row r="10" spans="1:18" x14ac:dyDescent="0.25">
      <c r="A10" s="38">
        <f t="shared" si="0"/>
        <v>1549</v>
      </c>
      <c r="B10" s="20">
        <v>0.125</v>
      </c>
      <c r="C10" s="42">
        <f t="shared" si="1"/>
        <v>262</v>
      </c>
      <c r="D10" s="112">
        <v>13</v>
      </c>
      <c r="E10" s="92">
        <f t="shared" si="2"/>
        <v>275</v>
      </c>
      <c r="F10" s="21">
        <f t="shared" si="3"/>
        <v>275</v>
      </c>
      <c r="G10" s="21">
        <f>MAX('019-010154-3'!F19,'019-010154-3'!I19,'019-010154-3'!L19)</f>
        <v>73</v>
      </c>
      <c r="H10" s="21">
        <f t="shared" si="4"/>
        <v>202</v>
      </c>
      <c r="I10" s="21">
        <f>MAX('019-010295-3'!F19,'019-010295-3'!I19,'019-010295-3'!L19)</f>
        <v>17</v>
      </c>
      <c r="J10" s="21">
        <f t="shared" si="5"/>
        <v>219</v>
      </c>
      <c r="K10" s="21">
        <f>MAX('019-010155-3'!F19,'019-010155-3'!I19,'019-010155-3'!L19)</f>
        <v>58</v>
      </c>
      <c r="L10" s="21">
        <f t="shared" si="6"/>
        <v>161</v>
      </c>
      <c r="M10" s="21">
        <f>MAX('019-009733-2'!G19,'019-009733-2'!J19,'019-009733-2'!M19)</f>
        <v>14</v>
      </c>
      <c r="N10" s="21">
        <f>MAX('019-000177-3'!F19,'019-000177-3'!I19,'019-000177-3'!L19)</f>
        <v>175</v>
      </c>
      <c r="O10" s="21">
        <f>MAX('019-000589-3'!F20,'019-000589-3'!I20,'019-000589-3'!L20)</f>
        <v>3</v>
      </c>
      <c r="P10" s="21">
        <f t="shared" si="7"/>
        <v>172</v>
      </c>
      <c r="Q10" s="21">
        <f>MAX('019-000590-3'!F20,'019-000590-3'!I20,'019-000590-3'!L20)</f>
        <v>4</v>
      </c>
      <c r="R10" s="37">
        <f t="shared" si="8"/>
        <v>176</v>
      </c>
    </row>
    <row r="11" spans="1:18" x14ac:dyDescent="0.25">
      <c r="A11" s="38">
        <f t="shared" si="0"/>
        <v>1993</v>
      </c>
      <c r="B11" s="20">
        <v>0.16666666666666699</v>
      </c>
      <c r="C11" s="42">
        <f t="shared" si="1"/>
        <v>318</v>
      </c>
      <c r="D11" s="112">
        <v>18</v>
      </c>
      <c r="E11" s="92">
        <f t="shared" si="2"/>
        <v>336</v>
      </c>
      <c r="F11" s="21">
        <f t="shared" si="3"/>
        <v>336</v>
      </c>
      <c r="G11" s="21">
        <f>MAX('019-010154-3'!F20,'019-010154-3'!I20,'019-010154-3'!L20)</f>
        <v>81</v>
      </c>
      <c r="H11" s="21">
        <f t="shared" si="4"/>
        <v>255</v>
      </c>
      <c r="I11" s="21">
        <f>MAX('019-010295-3'!F20,'019-010295-3'!I20,'019-010295-3'!L20)</f>
        <v>23</v>
      </c>
      <c r="J11" s="21">
        <f t="shared" si="5"/>
        <v>278</v>
      </c>
      <c r="K11" s="21">
        <f>MAX('019-010155-3'!F20,'019-010155-3'!I20,'019-010155-3'!L20)</f>
        <v>72</v>
      </c>
      <c r="L11" s="21">
        <f t="shared" si="6"/>
        <v>206</v>
      </c>
      <c r="M11" s="21">
        <f>MAX('019-009733-2'!G20,'019-009733-2'!J20,'019-009733-2'!M20)</f>
        <v>26</v>
      </c>
      <c r="N11" s="21">
        <f>MAX('019-000177-3'!F20,'019-000177-3'!I20,'019-000177-3'!L20)</f>
        <v>232</v>
      </c>
      <c r="O11" s="21">
        <f>MAX('019-000589-3'!F21,'019-000589-3'!I21,'019-000589-3'!L21)</f>
        <v>6</v>
      </c>
      <c r="P11" s="21">
        <f t="shared" si="7"/>
        <v>226</v>
      </c>
      <c r="Q11" s="21">
        <f>MAX('019-000590-3'!F21,'019-000590-3'!I21,'019-000590-3'!L21)</f>
        <v>13</v>
      </c>
      <c r="R11" s="37">
        <f t="shared" si="8"/>
        <v>239</v>
      </c>
    </row>
    <row r="12" spans="1:18" x14ac:dyDescent="0.25">
      <c r="A12" s="38">
        <f t="shared" si="0"/>
        <v>3551</v>
      </c>
      <c r="B12" s="20">
        <v>0.20833333333333301</v>
      </c>
      <c r="C12" s="42">
        <f t="shared" si="1"/>
        <v>594</v>
      </c>
      <c r="D12" s="112">
        <v>20</v>
      </c>
      <c r="E12" s="92">
        <f t="shared" si="2"/>
        <v>614</v>
      </c>
      <c r="F12" s="21">
        <f t="shared" si="3"/>
        <v>614</v>
      </c>
      <c r="G12" s="21">
        <f>MAX('019-010154-3'!F21,'019-010154-3'!I21,'019-010154-3'!L21)</f>
        <v>143</v>
      </c>
      <c r="H12" s="21">
        <f t="shared" si="4"/>
        <v>471</v>
      </c>
      <c r="I12" s="21">
        <f>MAX('019-010295-3'!F21,'019-010295-3'!I21,'019-010295-3'!L21)</f>
        <v>34</v>
      </c>
      <c r="J12" s="21">
        <f t="shared" si="5"/>
        <v>505</v>
      </c>
      <c r="K12" s="21">
        <f>MAX('019-010155-3'!F21,'019-010155-3'!I21,'019-010155-3'!L21)</f>
        <v>157</v>
      </c>
      <c r="L12" s="21">
        <f t="shared" si="6"/>
        <v>348</v>
      </c>
      <c r="M12" s="21">
        <f>MAX('019-009733-2'!G21,'019-009733-2'!J21,'019-009733-2'!M21)</f>
        <v>48</v>
      </c>
      <c r="N12" s="21">
        <f>MAX('019-000177-3'!F21,'019-000177-3'!I21,'019-000177-3'!L21)</f>
        <v>396</v>
      </c>
      <c r="O12" s="21">
        <f>MAX('019-000589-3'!F22,'019-000589-3'!I22,'019-000589-3'!L22)</f>
        <v>13</v>
      </c>
      <c r="P12" s="21">
        <f t="shared" si="7"/>
        <v>383</v>
      </c>
      <c r="Q12" s="21">
        <f>MAX('019-000590-3'!F22,'019-000590-3'!I22,'019-000590-3'!L22)</f>
        <v>28</v>
      </c>
      <c r="R12" s="37">
        <f t="shared" si="8"/>
        <v>411</v>
      </c>
    </row>
    <row r="13" spans="1:18" x14ac:dyDescent="0.25">
      <c r="A13" s="38">
        <f t="shared" si="0"/>
        <v>7372</v>
      </c>
      <c r="B13" s="20">
        <v>0.25</v>
      </c>
      <c r="C13" s="42">
        <f t="shared" si="1"/>
        <v>1265</v>
      </c>
      <c r="D13" s="112">
        <v>30</v>
      </c>
      <c r="E13" s="92">
        <f t="shared" si="2"/>
        <v>1295</v>
      </c>
      <c r="F13" s="21">
        <f t="shared" si="3"/>
        <v>1295</v>
      </c>
      <c r="G13" s="21">
        <f>MAX('019-010154-3'!F22,'019-010154-3'!I22,'019-010154-3'!L22)</f>
        <v>369</v>
      </c>
      <c r="H13" s="21">
        <f t="shared" si="4"/>
        <v>926</v>
      </c>
      <c r="I13" s="21">
        <f>MAX('019-010295-3'!F22,'019-010295-3'!I22,'019-010295-3'!L22)</f>
        <v>77</v>
      </c>
      <c r="J13" s="21">
        <f t="shared" si="5"/>
        <v>1003</v>
      </c>
      <c r="K13" s="21">
        <f>MAX('019-010155-3'!F22,'019-010155-3'!I22,'019-010155-3'!L22)</f>
        <v>292</v>
      </c>
      <c r="L13" s="21">
        <f t="shared" si="6"/>
        <v>711</v>
      </c>
      <c r="M13" s="21">
        <f>MAX('019-009733-2'!G22,'019-009733-2'!J22,'019-009733-2'!M22)</f>
        <v>113</v>
      </c>
      <c r="N13" s="21">
        <f>MAX('019-000177-3'!F22,'019-000177-3'!I22,'019-000177-3'!L22)</f>
        <v>824</v>
      </c>
      <c r="O13" s="21">
        <f>MAX('019-000589-3'!F23,'019-000589-3'!I23,'019-000589-3'!L23)</f>
        <v>38</v>
      </c>
      <c r="P13" s="21">
        <f t="shared" si="7"/>
        <v>786</v>
      </c>
      <c r="Q13" s="21">
        <f>MAX('019-000590-3'!F23,'019-000590-3'!I23,'019-000590-3'!L23)</f>
        <v>76</v>
      </c>
      <c r="R13" s="37">
        <f t="shared" si="8"/>
        <v>862</v>
      </c>
    </row>
    <row r="14" spans="1:18" s="51" customFormat="1" x14ac:dyDescent="0.25">
      <c r="A14" s="39">
        <f t="shared" si="0"/>
        <v>9573</v>
      </c>
      <c r="B14" s="40">
        <v>0.29166666666666702</v>
      </c>
      <c r="C14" s="96">
        <f t="shared" si="1"/>
        <v>1740</v>
      </c>
      <c r="D14" s="93">
        <v>45</v>
      </c>
      <c r="E14" s="93">
        <f t="shared" si="2"/>
        <v>1785</v>
      </c>
      <c r="F14" s="44">
        <f t="shared" si="3"/>
        <v>1785</v>
      </c>
      <c r="G14" s="44">
        <f>MAX('019-010154-3'!F23,'019-010154-3'!I23,'019-010154-3'!L23)</f>
        <v>577</v>
      </c>
      <c r="H14" s="44">
        <f t="shared" si="4"/>
        <v>1208</v>
      </c>
      <c r="I14" s="44">
        <f>MAX('019-010295-3'!F23,'019-010295-3'!I23,'019-010295-3'!L23)</f>
        <v>98</v>
      </c>
      <c r="J14" s="44">
        <f t="shared" si="5"/>
        <v>1306</v>
      </c>
      <c r="K14" s="44">
        <f>MAX('019-010155-3'!F23,'019-010155-3'!I23,'019-010155-3'!L23)</f>
        <v>532</v>
      </c>
      <c r="L14" s="44">
        <f t="shared" si="6"/>
        <v>774</v>
      </c>
      <c r="M14" s="44">
        <f>MAX('019-009733-2'!G23,'019-009733-2'!J23,'019-009733-2'!M23)</f>
        <v>171</v>
      </c>
      <c r="N14" s="44">
        <f>MAX('019-000177-3'!F23,'019-000177-3'!I23,'019-000177-3'!L23)</f>
        <v>945</v>
      </c>
      <c r="O14" s="44">
        <f>MAX('019-000589-3'!F24,'019-000589-3'!I24,'019-000589-3'!L24)</f>
        <v>49</v>
      </c>
      <c r="P14" s="44">
        <f>N14-O14</f>
        <v>896</v>
      </c>
      <c r="Q14" s="44">
        <f>MAX('019-000590-3'!F24,'019-000590-3'!I24,'019-000590-3'!L24)</f>
        <v>168</v>
      </c>
      <c r="R14" s="45">
        <f t="shared" si="8"/>
        <v>1064</v>
      </c>
    </row>
    <row r="15" spans="1:18" x14ac:dyDescent="0.25">
      <c r="A15" s="38">
        <f t="shared" si="0"/>
        <v>9700</v>
      </c>
      <c r="B15" s="20">
        <v>0.33333333333333298</v>
      </c>
      <c r="C15" s="42">
        <f t="shared" si="1"/>
        <v>1821</v>
      </c>
      <c r="D15" s="112">
        <v>58</v>
      </c>
      <c r="E15" s="92">
        <f t="shared" si="2"/>
        <v>1879</v>
      </c>
      <c r="F15" s="21">
        <f t="shared" si="3"/>
        <v>1879</v>
      </c>
      <c r="G15" s="21">
        <f>MAX('019-010154-3'!F24,'019-010154-3'!I24,'019-010154-3'!L24)</f>
        <v>607</v>
      </c>
      <c r="H15" s="21">
        <f t="shared" si="4"/>
        <v>1272</v>
      </c>
      <c r="I15" s="21">
        <f>MAX('019-010295-3'!F24,'019-010295-3'!I24,'019-010295-3'!L24)</f>
        <v>116</v>
      </c>
      <c r="J15" s="21">
        <f t="shared" si="5"/>
        <v>1388</v>
      </c>
      <c r="K15" s="21">
        <f>MAX('019-010155-3'!F24,'019-010155-3'!I24,'019-010155-3'!L24)</f>
        <v>611</v>
      </c>
      <c r="L15" s="21">
        <f t="shared" si="6"/>
        <v>777</v>
      </c>
      <c r="M15" s="21">
        <f>MAX('019-009733-2'!G24,'019-009733-2'!J24,'019-009733-2'!M24)</f>
        <v>152</v>
      </c>
      <c r="N15" s="21">
        <f>MAX('019-000177-3'!F24,'019-000177-3'!I24,'019-000177-3'!L24)</f>
        <v>929</v>
      </c>
      <c r="O15" s="21">
        <f>MAX('019-000589-3'!F25,'019-000589-3'!I25,'019-000589-3'!L25)</f>
        <v>55</v>
      </c>
      <c r="P15" s="21">
        <f t="shared" si="7"/>
        <v>874</v>
      </c>
      <c r="Q15" s="21">
        <f>MAX('019-000590-3'!F25,'019-000590-3'!I25,'019-000590-3'!L25)</f>
        <v>83</v>
      </c>
      <c r="R15" s="37">
        <f t="shared" si="8"/>
        <v>957</v>
      </c>
    </row>
    <row r="16" spans="1:18" x14ac:dyDescent="0.25">
      <c r="A16" s="38">
        <f t="shared" si="0"/>
        <v>10353</v>
      </c>
      <c r="B16" s="20">
        <v>0.375</v>
      </c>
      <c r="C16" s="42">
        <f t="shared" si="1"/>
        <v>1892</v>
      </c>
      <c r="D16" s="112">
        <v>64</v>
      </c>
      <c r="E16" s="92">
        <f t="shared" si="2"/>
        <v>1956</v>
      </c>
      <c r="F16" s="21">
        <f t="shared" si="3"/>
        <v>1956</v>
      </c>
      <c r="G16" s="21">
        <f>MAX('019-010154-3'!F25,'019-010154-3'!I25,'019-010154-3'!L25)</f>
        <v>591</v>
      </c>
      <c r="H16" s="21">
        <f t="shared" si="4"/>
        <v>1365</v>
      </c>
      <c r="I16" s="21">
        <f>MAX('019-010295-3'!F25,'019-010295-3'!I25,'019-010295-3'!L25)</f>
        <v>107</v>
      </c>
      <c r="J16" s="21">
        <f t="shared" si="5"/>
        <v>1472</v>
      </c>
      <c r="K16" s="21">
        <f>MAX('019-010155-3'!F25,'019-010155-3'!I25,'019-010155-3'!L25)</f>
        <v>582</v>
      </c>
      <c r="L16" s="21">
        <f t="shared" si="6"/>
        <v>890</v>
      </c>
      <c r="M16" s="21">
        <f>MAX('019-009733-2'!G25,'019-009733-2'!J25,'019-009733-2'!M25)</f>
        <v>163</v>
      </c>
      <c r="N16" s="21">
        <f>MAX('019-000177-3'!F25,'019-000177-3'!I25,'019-000177-3'!L25)</f>
        <v>1053</v>
      </c>
      <c r="O16" s="21">
        <f>MAX('019-000589-3'!F26,'019-000589-3'!I26,'019-000589-3'!L26)</f>
        <v>56</v>
      </c>
      <c r="P16" s="21">
        <f t="shared" si="7"/>
        <v>997</v>
      </c>
      <c r="Q16" s="21">
        <f>MAX('019-000590-3'!F26,'019-000590-3'!I26,'019-000590-3'!L26)</f>
        <v>62</v>
      </c>
      <c r="R16" s="37">
        <f t="shared" si="8"/>
        <v>1059</v>
      </c>
    </row>
    <row r="17" spans="1:18" x14ac:dyDescent="0.25">
      <c r="A17" s="38">
        <f t="shared" si="0"/>
        <v>10836</v>
      </c>
      <c r="B17" s="20">
        <v>0.41666666666666702</v>
      </c>
      <c r="C17" s="42">
        <f t="shared" si="1"/>
        <v>1939</v>
      </c>
      <c r="D17" s="112">
        <v>74</v>
      </c>
      <c r="E17" s="92">
        <f t="shared" si="2"/>
        <v>2013</v>
      </c>
      <c r="F17" s="21">
        <f t="shared" si="3"/>
        <v>2013</v>
      </c>
      <c r="G17" s="21">
        <f>MAX('019-010154-3'!F26,'019-010154-3'!I26,'019-010154-3'!L26)</f>
        <v>564</v>
      </c>
      <c r="H17" s="21">
        <f t="shared" si="4"/>
        <v>1449</v>
      </c>
      <c r="I17" s="21">
        <f>MAX('019-010295-3'!F26,'019-010295-3'!I26,'019-010295-3'!L26)</f>
        <v>107</v>
      </c>
      <c r="J17" s="21">
        <f t="shared" si="5"/>
        <v>1556</v>
      </c>
      <c r="K17" s="21">
        <f>MAX('019-010155-3'!F26,'019-010155-3'!I26,'019-010155-3'!L26)</f>
        <v>650</v>
      </c>
      <c r="L17" s="21">
        <f t="shared" si="6"/>
        <v>906</v>
      </c>
      <c r="M17" s="21">
        <f>MAX('019-009733-2'!G26,'019-009733-2'!J26,'019-009733-2'!M26)</f>
        <v>200</v>
      </c>
      <c r="N17" s="21">
        <f>MAX('019-000177-3'!F26,'019-000177-3'!I26,'019-000177-3'!L26)</f>
        <v>1106</v>
      </c>
      <c r="O17" s="21">
        <f>MAX('019-000589-3'!F27,'019-000589-3'!I27,'019-000589-3'!L27)</f>
        <v>49</v>
      </c>
      <c r="P17" s="21">
        <f t="shared" si="7"/>
        <v>1057</v>
      </c>
      <c r="Q17" s="21">
        <f>MAX('019-000590-3'!F27,'019-000590-3'!I27,'019-000590-3'!L27)</f>
        <v>61</v>
      </c>
      <c r="R17" s="37">
        <f t="shared" si="8"/>
        <v>1118</v>
      </c>
    </row>
    <row r="18" spans="1:18" x14ac:dyDescent="0.25">
      <c r="A18" s="38">
        <f t="shared" si="0"/>
        <v>11427</v>
      </c>
      <c r="B18" s="20">
        <v>0.45833333333333298</v>
      </c>
      <c r="C18" s="42">
        <f t="shared" si="1"/>
        <v>2083</v>
      </c>
      <c r="D18" s="112">
        <v>83</v>
      </c>
      <c r="E18" s="92">
        <f t="shared" si="2"/>
        <v>2166</v>
      </c>
      <c r="F18" s="21">
        <f t="shared" si="3"/>
        <v>2166</v>
      </c>
      <c r="G18" s="21">
        <f>MAX('019-010154-3'!F27,'019-010154-3'!I27,'019-010154-3'!L27)</f>
        <v>684</v>
      </c>
      <c r="H18" s="21">
        <f t="shared" si="4"/>
        <v>1482</v>
      </c>
      <c r="I18" s="21">
        <f>MAX('019-010295-3'!F27,'019-010295-3'!I27,'019-010295-3'!L27)</f>
        <v>137</v>
      </c>
      <c r="J18" s="21">
        <f t="shared" si="5"/>
        <v>1619</v>
      </c>
      <c r="K18" s="21">
        <f>MAX('019-010155-3'!F27,'019-010155-3'!I27,'019-010155-3'!L27)</f>
        <v>739</v>
      </c>
      <c r="L18" s="21">
        <f t="shared" si="6"/>
        <v>880</v>
      </c>
      <c r="M18" s="21">
        <f>MAX('019-009733-2'!G27,'019-009733-2'!J27,'019-009733-2'!M27)</f>
        <v>245</v>
      </c>
      <c r="N18" s="21">
        <f>MAX('019-000177-3'!F27,'019-000177-3'!I27,'019-000177-3'!L27)</f>
        <v>1125</v>
      </c>
      <c r="O18" s="21">
        <f>MAX('019-000589-3'!F28,'019-000589-3'!I28,'019-000589-3'!L28)</f>
        <v>76</v>
      </c>
      <c r="P18" s="21">
        <f t="shared" si="7"/>
        <v>1049</v>
      </c>
      <c r="Q18" s="21">
        <f>MAX('019-000590-3'!F28,'019-000590-3'!I28,'019-000590-3'!L28)</f>
        <v>88</v>
      </c>
      <c r="R18" s="37">
        <f t="shared" si="8"/>
        <v>1137</v>
      </c>
    </row>
    <row r="19" spans="1:18" x14ac:dyDescent="0.25">
      <c r="A19" s="38">
        <f t="shared" si="0"/>
        <v>12204</v>
      </c>
      <c r="B19" s="20">
        <v>0.5</v>
      </c>
      <c r="C19" s="42">
        <f t="shared" si="1"/>
        <v>2219</v>
      </c>
      <c r="D19" s="112">
        <v>86</v>
      </c>
      <c r="E19" s="92">
        <f t="shared" si="2"/>
        <v>2305</v>
      </c>
      <c r="F19" s="21">
        <f t="shared" si="3"/>
        <v>2305</v>
      </c>
      <c r="G19" s="21">
        <f>MAX('019-010154-3'!F28,'019-010154-3'!I28,'019-010154-3'!L28)</f>
        <v>698</v>
      </c>
      <c r="H19" s="21">
        <f t="shared" si="4"/>
        <v>1607</v>
      </c>
      <c r="I19" s="21">
        <f>MAX('019-010295-3'!F28,'019-010295-3'!I28,'019-010295-3'!L28)</f>
        <v>146</v>
      </c>
      <c r="J19" s="21">
        <f t="shared" si="5"/>
        <v>1753</v>
      </c>
      <c r="K19" s="21">
        <f>MAX('019-010155-3'!F28,'019-010155-3'!I28,'019-010155-3'!L28)</f>
        <v>855</v>
      </c>
      <c r="L19" s="21">
        <f t="shared" si="6"/>
        <v>898</v>
      </c>
      <c r="M19" s="21">
        <f>MAX('019-009733-2'!G28,'019-009733-2'!J28,'019-009733-2'!M28)</f>
        <v>284</v>
      </c>
      <c r="N19" s="21">
        <f>MAX('019-000177-3'!F28,'019-000177-3'!I28,'019-000177-3'!L28)</f>
        <v>1182</v>
      </c>
      <c r="O19" s="21">
        <f>MAX('019-000589-3'!F29,'019-000589-3'!I29,'019-000589-3'!L29)</f>
        <v>74</v>
      </c>
      <c r="P19" s="21">
        <f t="shared" si="7"/>
        <v>1108</v>
      </c>
      <c r="Q19" s="21">
        <f>MAX('019-000590-3'!F29,'019-000590-3'!I29,'019-000590-3'!L29)</f>
        <v>93</v>
      </c>
      <c r="R19" s="37">
        <f t="shared" si="8"/>
        <v>1201</v>
      </c>
    </row>
    <row r="20" spans="1:18" x14ac:dyDescent="0.25">
      <c r="A20" s="38">
        <f t="shared" si="0"/>
        <v>13063</v>
      </c>
      <c r="B20" s="20">
        <v>0.54166666666666596</v>
      </c>
      <c r="C20" s="42">
        <f t="shared" si="1"/>
        <v>2339</v>
      </c>
      <c r="D20" s="112">
        <v>88</v>
      </c>
      <c r="E20" s="92">
        <f t="shared" si="2"/>
        <v>2427</v>
      </c>
      <c r="F20" s="21">
        <f t="shared" si="3"/>
        <v>2427</v>
      </c>
      <c r="G20" s="21">
        <f>MAX('019-010154-3'!F29,'019-010154-3'!I29,'019-010154-3'!L29)</f>
        <v>739</v>
      </c>
      <c r="H20" s="21">
        <f t="shared" si="4"/>
        <v>1688</v>
      </c>
      <c r="I20" s="21">
        <f>MAX('019-010295-3'!F29,'019-010295-3'!I29,'019-010295-3'!L29)</f>
        <v>169</v>
      </c>
      <c r="J20" s="21">
        <f t="shared" si="5"/>
        <v>1857</v>
      </c>
      <c r="K20" s="21">
        <f>MAX('019-010155-3'!F29,'019-010155-3'!I29,'019-010155-3'!L29)</f>
        <v>853</v>
      </c>
      <c r="L20" s="21">
        <f t="shared" si="6"/>
        <v>1004</v>
      </c>
      <c r="M20" s="21">
        <f>MAX('019-009733-2'!G29,'019-009733-2'!J29,'019-009733-2'!M29)</f>
        <v>298</v>
      </c>
      <c r="N20" s="21">
        <f>MAX('019-000177-3'!F29,'019-000177-3'!I29,'019-000177-3'!L29)</f>
        <v>1302</v>
      </c>
      <c r="O20" s="21">
        <f>MAX('019-000589-3'!F30,'019-000589-3'!I30,'019-000589-3'!L30)</f>
        <v>84</v>
      </c>
      <c r="P20" s="21">
        <f t="shared" si="7"/>
        <v>1218</v>
      </c>
      <c r="Q20" s="21">
        <f>MAX('019-000590-3'!F30,'019-000590-3'!I30,'019-000590-3'!L30)</f>
        <v>103</v>
      </c>
      <c r="R20" s="37">
        <f t="shared" si="8"/>
        <v>1321</v>
      </c>
    </row>
    <row r="21" spans="1:18" x14ac:dyDescent="0.25">
      <c r="A21" s="38">
        <f t="shared" si="0"/>
        <v>15045</v>
      </c>
      <c r="B21" s="20">
        <v>0.58333333333333304</v>
      </c>
      <c r="C21" s="42">
        <f t="shared" si="1"/>
        <v>2750</v>
      </c>
      <c r="D21" s="112">
        <v>92</v>
      </c>
      <c r="E21" s="92">
        <f t="shared" si="2"/>
        <v>2842</v>
      </c>
      <c r="F21" s="21">
        <f t="shared" si="3"/>
        <v>2842</v>
      </c>
      <c r="G21" s="21">
        <f>MAX('019-010154-3'!F30,'019-010154-3'!I30,'019-010154-3'!L30)</f>
        <v>869</v>
      </c>
      <c r="H21" s="21">
        <f t="shared" si="4"/>
        <v>1973</v>
      </c>
      <c r="I21" s="21">
        <f>MAX('019-010295-3'!F30,'019-010295-3'!I30,'019-010295-3'!L30)</f>
        <v>161</v>
      </c>
      <c r="J21" s="21">
        <f t="shared" si="5"/>
        <v>2134</v>
      </c>
      <c r="K21" s="21">
        <f>MAX('019-010155-3'!F30,'019-010155-3'!I30,'019-010155-3'!L30)</f>
        <v>976</v>
      </c>
      <c r="L21" s="21">
        <f t="shared" si="6"/>
        <v>1158</v>
      </c>
      <c r="M21" s="21">
        <f>MAX('019-009733-2'!G30,'019-009733-2'!J30,'019-009733-2'!M30)</f>
        <v>324</v>
      </c>
      <c r="N21" s="21">
        <f>MAX('019-000177-3'!F30,'019-000177-3'!I30,'019-000177-3'!L30)</f>
        <v>1482</v>
      </c>
      <c r="O21" s="21">
        <f>MAX('019-000589-3'!F31,'019-000589-3'!I31,'019-000589-3'!L31)</f>
        <v>86</v>
      </c>
      <c r="P21" s="21">
        <f t="shared" si="7"/>
        <v>1396</v>
      </c>
      <c r="Q21" s="21">
        <f>MAX('019-000590-3'!F31,'019-000590-3'!I31,'019-000590-3'!L31)</f>
        <v>124</v>
      </c>
      <c r="R21" s="37">
        <f t="shared" si="8"/>
        <v>1520</v>
      </c>
    </row>
    <row r="22" spans="1:18" x14ac:dyDescent="0.25">
      <c r="A22" s="38">
        <f t="shared" si="0"/>
        <v>20641</v>
      </c>
      <c r="B22" s="20">
        <v>0.625</v>
      </c>
      <c r="C22" s="42">
        <f t="shared" si="1"/>
        <v>3776</v>
      </c>
      <c r="D22" s="112">
        <v>98</v>
      </c>
      <c r="E22" s="92">
        <f t="shared" si="2"/>
        <v>3874</v>
      </c>
      <c r="F22" s="21">
        <f t="shared" si="3"/>
        <v>3874</v>
      </c>
      <c r="G22" s="21">
        <f>MAX('019-010154-3'!F31,'019-010154-3'!I31,'019-010154-3'!L31)</f>
        <v>1075</v>
      </c>
      <c r="H22" s="21">
        <f t="shared" si="4"/>
        <v>2799</v>
      </c>
      <c r="I22" s="21">
        <f>MAX('019-010295-3'!F31,'019-010295-3'!I31,'019-010295-3'!L31)</f>
        <v>177</v>
      </c>
      <c r="J22" s="21">
        <f t="shared" si="5"/>
        <v>2976</v>
      </c>
      <c r="K22" s="21">
        <f>MAX('019-010155-3'!F31,'019-010155-3'!I31,'019-010155-3'!L31)</f>
        <v>1215</v>
      </c>
      <c r="L22" s="21">
        <f t="shared" si="6"/>
        <v>1761</v>
      </c>
      <c r="M22" s="21">
        <f>MAX('019-009733-2'!G31,'019-009733-2'!J31,'019-009733-2'!M31)</f>
        <v>328</v>
      </c>
      <c r="N22" s="21">
        <f>MAX('019-000177-3'!F31,'019-000177-3'!I31,'019-000177-3'!L31)</f>
        <v>2089</v>
      </c>
      <c r="O22" s="21">
        <f>MAX('019-000589-3'!F32,'019-000589-3'!I32,'019-000589-3'!L32)</f>
        <v>153</v>
      </c>
      <c r="P22" s="21">
        <f t="shared" si="7"/>
        <v>1936</v>
      </c>
      <c r="Q22" s="21">
        <f>MAX('019-000590-3'!F32,'019-000590-3'!I32,'019-000590-3'!L32)</f>
        <v>161</v>
      </c>
      <c r="R22" s="37">
        <f t="shared" si="8"/>
        <v>2097</v>
      </c>
    </row>
    <row r="23" spans="1:18" x14ac:dyDescent="0.25">
      <c r="A23" s="39">
        <f t="shared" si="0"/>
        <v>21560</v>
      </c>
      <c r="B23" s="40">
        <v>0.66666666666666596</v>
      </c>
      <c r="C23" s="96">
        <f t="shared" si="1"/>
        <v>3799</v>
      </c>
      <c r="D23" s="93">
        <v>106</v>
      </c>
      <c r="E23" s="93">
        <f t="shared" si="2"/>
        <v>3905</v>
      </c>
      <c r="F23" s="44">
        <f t="shared" si="3"/>
        <v>3905</v>
      </c>
      <c r="G23" s="44">
        <f>MAX('019-010154-3'!F32,'019-010154-3'!I32,'019-010154-3'!L32)</f>
        <v>1060</v>
      </c>
      <c r="H23" s="44">
        <f t="shared" si="4"/>
        <v>2845</v>
      </c>
      <c r="I23" s="44">
        <f>MAX('019-010295-3'!F32,'019-010295-3'!I32,'019-010295-3'!L32)</f>
        <v>239</v>
      </c>
      <c r="J23" s="44">
        <f t="shared" si="5"/>
        <v>3084</v>
      </c>
      <c r="K23" s="44">
        <f>MAX('019-010155-3'!F32,'019-010155-3'!I32,'019-010155-3'!L32)</f>
        <v>1211</v>
      </c>
      <c r="L23" s="44">
        <f t="shared" si="6"/>
        <v>1873</v>
      </c>
      <c r="M23" s="44">
        <f>MAX('019-009733-2'!G32,'019-009733-2'!J32,'019-009733-2'!M32)</f>
        <v>391</v>
      </c>
      <c r="N23" s="44">
        <f>MAX('019-000177-3'!F32,'019-000177-3'!I32,'019-000177-3'!L32)</f>
        <v>2264</v>
      </c>
      <c r="O23" s="44">
        <f>MAX('019-000589-3'!F33,'019-000589-3'!I33,'019-000589-3'!L33)</f>
        <v>198</v>
      </c>
      <c r="P23" s="44">
        <f t="shared" si="7"/>
        <v>2066</v>
      </c>
      <c r="Q23" s="44">
        <f>MAX('019-000590-3'!F33,'019-000590-3'!I33,'019-000590-3'!L33)</f>
        <v>179</v>
      </c>
      <c r="R23" s="45">
        <f t="shared" si="8"/>
        <v>2245</v>
      </c>
    </row>
    <row r="24" spans="1:18" x14ac:dyDescent="0.25">
      <c r="A24" s="38">
        <f t="shared" si="0"/>
        <v>20635</v>
      </c>
      <c r="B24" s="20">
        <v>0.70833333333333304</v>
      </c>
      <c r="C24" s="42">
        <f t="shared" si="1"/>
        <v>3778</v>
      </c>
      <c r="D24" s="112">
        <v>105</v>
      </c>
      <c r="E24" s="92">
        <f t="shared" si="2"/>
        <v>3883</v>
      </c>
      <c r="F24" s="21">
        <f>H24+G24</f>
        <v>3883</v>
      </c>
      <c r="G24" s="21">
        <f>MAX('019-010154-3'!F33,'019-010154-3'!I33,'019-010154-3'!L33)</f>
        <v>1106</v>
      </c>
      <c r="H24" s="21">
        <f t="shared" si="4"/>
        <v>2777</v>
      </c>
      <c r="I24" s="21">
        <f>MAX('019-010295-3'!F33,'019-010295-3'!I33,'019-010295-3'!L33)</f>
        <v>240</v>
      </c>
      <c r="J24" s="21">
        <f t="shared" si="5"/>
        <v>3017</v>
      </c>
      <c r="K24" s="21">
        <f>MAX('019-010155-3'!F33,'019-010155-3'!I33,'019-010155-3'!L33)</f>
        <v>1375</v>
      </c>
      <c r="L24" s="21">
        <f t="shared" si="6"/>
        <v>1642</v>
      </c>
      <c r="M24" s="21">
        <f>MAX('019-009733-2'!G33,'019-009733-2'!J33,'019-009733-2'!M33)</f>
        <v>377</v>
      </c>
      <c r="N24" s="21">
        <f>MAX('019-000177-3'!F33,'019-000177-3'!I33,'019-000177-3'!L33)</f>
        <v>2019</v>
      </c>
      <c r="O24" s="21">
        <f>MAX('019-000589-3'!F34,'019-000589-3'!I34,'019-000589-3'!L34)</f>
        <v>245</v>
      </c>
      <c r="P24" s="21">
        <f t="shared" si="7"/>
        <v>1774</v>
      </c>
      <c r="Q24" s="21">
        <f>MAX('019-000590-3'!F34,'019-000590-3'!I34,'019-000590-3'!L34)</f>
        <v>203</v>
      </c>
      <c r="R24" s="37">
        <f t="shared" si="8"/>
        <v>1977</v>
      </c>
    </row>
    <row r="25" spans="1:18" x14ac:dyDescent="0.25">
      <c r="A25" s="38">
        <f t="shared" si="0"/>
        <v>15988</v>
      </c>
      <c r="B25" s="20">
        <v>0.75</v>
      </c>
      <c r="C25" s="42">
        <f t="shared" si="1"/>
        <v>2932</v>
      </c>
      <c r="D25" s="112">
        <v>94</v>
      </c>
      <c r="E25" s="92">
        <f t="shared" si="2"/>
        <v>3026</v>
      </c>
      <c r="F25" s="21">
        <f t="shared" si="3"/>
        <v>3026</v>
      </c>
      <c r="G25" s="21">
        <f>MAX('019-010154-3'!F34,'019-010154-3'!I34,'019-010154-3'!L34)</f>
        <v>844</v>
      </c>
      <c r="H25" s="21">
        <f t="shared" si="4"/>
        <v>2182</v>
      </c>
      <c r="I25" s="21">
        <f>MAX('019-010295-3'!F34,'019-010295-3'!I34,'019-010295-3'!L34)</f>
        <v>152</v>
      </c>
      <c r="J25" s="21">
        <f t="shared" si="5"/>
        <v>2334</v>
      </c>
      <c r="K25" s="21">
        <f>MAX('019-010155-3'!F34,'019-010155-3'!I34,'019-010155-3'!L34)</f>
        <v>1079</v>
      </c>
      <c r="L25" s="21">
        <f t="shared" si="6"/>
        <v>1255</v>
      </c>
      <c r="M25" s="21">
        <f>MAX('019-009733-2'!G34,'019-009733-2'!J34,'019-009733-2'!M34)</f>
        <v>311</v>
      </c>
      <c r="N25" s="21">
        <f>MAX('019-000177-3'!F34,'019-000177-3'!I34,'019-000177-3'!L34)</f>
        <v>1566</v>
      </c>
      <c r="O25" s="21">
        <f>MAX('019-000589-3'!F35,'019-000589-3'!I35,'019-000589-3'!L35)</f>
        <v>151</v>
      </c>
      <c r="P25" s="21">
        <f t="shared" si="7"/>
        <v>1415</v>
      </c>
      <c r="Q25" s="21">
        <f>MAX('019-000590-3'!F35,'019-000590-3'!I35,'019-000590-3'!L35)</f>
        <v>129</v>
      </c>
      <c r="R25" s="37">
        <f t="shared" si="8"/>
        <v>1544</v>
      </c>
    </row>
    <row r="26" spans="1:18" x14ac:dyDescent="0.25">
      <c r="A26" s="38">
        <f t="shared" si="0"/>
        <v>10639</v>
      </c>
      <c r="B26" s="20">
        <v>0.79166666666666596</v>
      </c>
      <c r="C26" s="42">
        <f t="shared" si="1"/>
        <v>1950</v>
      </c>
      <c r="D26" s="112">
        <v>73</v>
      </c>
      <c r="E26" s="92">
        <f t="shared" si="2"/>
        <v>2023</v>
      </c>
      <c r="F26" s="21">
        <f t="shared" si="3"/>
        <v>2023</v>
      </c>
      <c r="G26" s="21">
        <f>MAX('019-010154-3'!F35,'019-010154-3'!I35,'019-010154-3'!L35)</f>
        <v>677</v>
      </c>
      <c r="H26" s="21">
        <f t="shared" si="4"/>
        <v>1346</v>
      </c>
      <c r="I26" s="21">
        <f>MAX('019-010295-3'!F35,'019-010295-3'!I35,'019-010295-3'!L35)</f>
        <v>142</v>
      </c>
      <c r="J26" s="21">
        <f t="shared" si="5"/>
        <v>1488</v>
      </c>
      <c r="K26" s="21">
        <f>MAX('019-010155-3'!F35,'019-010155-3'!I35,'019-010155-3'!L35)</f>
        <v>719</v>
      </c>
      <c r="L26" s="21">
        <f t="shared" si="6"/>
        <v>769</v>
      </c>
      <c r="M26" s="21">
        <f>MAX('019-009733-2'!G35,'019-009733-2'!J35,'019-009733-2'!M35)</f>
        <v>264</v>
      </c>
      <c r="N26" s="21">
        <f>MAX('019-000177-3'!F35,'019-000177-3'!I35,'019-000177-3'!L35)</f>
        <v>1033</v>
      </c>
      <c r="O26" s="21">
        <f>MAX('019-000589-3'!F36,'019-000589-3'!I36,'019-000589-3'!L36)</f>
        <v>100</v>
      </c>
      <c r="P26" s="21">
        <f t="shared" si="7"/>
        <v>933</v>
      </c>
      <c r="Q26" s="21">
        <f>MAX('019-000590-3'!F36,'019-000590-3'!I36,'019-000590-3'!L36)</f>
        <v>106</v>
      </c>
      <c r="R26" s="37">
        <f t="shared" si="8"/>
        <v>1039</v>
      </c>
    </row>
    <row r="27" spans="1:18" x14ac:dyDescent="0.25">
      <c r="A27" s="38">
        <f t="shared" si="0"/>
        <v>8227</v>
      </c>
      <c r="B27" s="20">
        <v>0.83333333333333304</v>
      </c>
      <c r="C27" s="42">
        <f t="shared" si="1"/>
        <v>1502</v>
      </c>
      <c r="D27" s="112">
        <v>59</v>
      </c>
      <c r="E27" s="92">
        <f t="shared" si="2"/>
        <v>1561</v>
      </c>
      <c r="F27" s="21">
        <f t="shared" si="3"/>
        <v>1561</v>
      </c>
      <c r="G27" s="21">
        <f>MAX('019-010154-3'!F36,'019-010154-3'!I36,'019-010154-3'!L36)</f>
        <v>532</v>
      </c>
      <c r="H27" s="21">
        <f t="shared" si="4"/>
        <v>1029</v>
      </c>
      <c r="I27" s="21">
        <f>MAX('019-010295-3'!F36,'019-010295-3'!I36,'019-010295-3'!L36)</f>
        <v>126</v>
      </c>
      <c r="J27" s="21">
        <f t="shared" si="5"/>
        <v>1155</v>
      </c>
      <c r="K27" s="21">
        <f>MAX('019-010155-3'!F36,'019-010155-3'!I36,'019-010155-3'!L36)</f>
        <v>539</v>
      </c>
      <c r="L27" s="21">
        <f t="shared" si="6"/>
        <v>616</v>
      </c>
      <c r="M27" s="21">
        <f>MAX('019-009733-2'!G36,'019-009733-2'!J36,'019-009733-2'!M36)</f>
        <v>190</v>
      </c>
      <c r="N27" s="21">
        <f>MAX('019-000177-3'!F36,'019-000177-3'!I36,'019-000177-3'!L36)</f>
        <v>806</v>
      </c>
      <c r="O27" s="21">
        <f>MAX('019-000589-3'!F37,'019-000589-3'!I37,'019-000589-3'!L37)</f>
        <v>73</v>
      </c>
      <c r="P27" s="21">
        <f t="shared" si="7"/>
        <v>733</v>
      </c>
      <c r="Q27" s="21">
        <f>MAX('019-000590-3'!F37,'019-000590-3'!I37,'019-000590-3'!L37)</f>
        <v>67</v>
      </c>
      <c r="R27" s="37">
        <f t="shared" si="8"/>
        <v>800</v>
      </c>
    </row>
    <row r="28" spans="1:18" x14ac:dyDescent="0.25">
      <c r="A28" s="38">
        <f t="shared" si="0"/>
        <v>6142</v>
      </c>
      <c r="B28" s="20">
        <v>0.875</v>
      </c>
      <c r="C28" s="42">
        <f t="shared" si="1"/>
        <v>1165</v>
      </c>
      <c r="D28" s="112">
        <v>48</v>
      </c>
      <c r="E28" s="92">
        <f t="shared" si="2"/>
        <v>1213</v>
      </c>
      <c r="F28" s="21">
        <f t="shared" si="3"/>
        <v>1213</v>
      </c>
      <c r="G28" s="21">
        <f>MAX('019-010154-3'!F37,'019-010154-3'!I37,'019-010154-3'!L37)</f>
        <v>379</v>
      </c>
      <c r="H28" s="21">
        <f t="shared" si="4"/>
        <v>834</v>
      </c>
      <c r="I28" s="21">
        <f>MAX('019-010295-3'!F37,'019-010295-3'!I37,'019-010295-3'!L37)</f>
        <v>53</v>
      </c>
      <c r="J28" s="21">
        <f t="shared" si="5"/>
        <v>887</v>
      </c>
      <c r="K28" s="21">
        <f>MAX('019-010155-3'!F37,'019-010155-3'!I37,'019-010155-3'!L37)</f>
        <v>431</v>
      </c>
      <c r="L28" s="21">
        <f t="shared" si="6"/>
        <v>456</v>
      </c>
      <c r="M28" s="21">
        <f>MAX('019-009733-2'!G37,'019-009733-2'!J37,'019-009733-2'!M37)</f>
        <v>127</v>
      </c>
      <c r="N28" s="21">
        <f>MAX('019-000177-3'!F37,'019-000177-3'!I37,'019-000177-3'!L37)</f>
        <v>583</v>
      </c>
      <c r="O28" s="21">
        <f>MAX('019-000589-3'!F38,'019-000589-3'!I38,'019-000589-3'!L38)</f>
        <v>59</v>
      </c>
      <c r="P28" s="21">
        <f t="shared" si="7"/>
        <v>524</v>
      </c>
      <c r="Q28" s="21">
        <f>MAX('019-000590-3'!F38,'019-000590-3'!I38,'019-000590-3'!L38)</f>
        <v>36</v>
      </c>
      <c r="R28" s="37">
        <f t="shared" si="8"/>
        <v>560</v>
      </c>
    </row>
    <row r="29" spans="1:18" x14ac:dyDescent="0.25">
      <c r="A29" s="38">
        <f t="shared" si="0"/>
        <v>4463</v>
      </c>
      <c r="B29" s="20">
        <v>0.91666666666666596</v>
      </c>
      <c r="C29" s="42">
        <f t="shared" si="1"/>
        <v>821</v>
      </c>
      <c r="D29" s="112">
        <v>38</v>
      </c>
      <c r="E29" s="92">
        <f t="shared" si="2"/>
        <v>859</v>
      </c>
      <c r="F29" s="21">
        <f t="shared" si="3"/>
        <v>859</v>
      </c>
      <c r="G29" s="21">
        <f>MAX('019-010154-3'!F38,'019-010154-3'!I38,'019-010154-3'!L38)</f>
        <v>276</v>
      </c>
      <c r="H29" s="21">
        <f t="shared" si="4"/>
        <v>583</v>
      </c>
      <c r="I29" s="21">
        <f>MAX('019-010295-3'!F38,'019-010295-3'!I38,'019-010295-3'!L38)</f>
        <v>50</v>
      </c>
      <c r="J29" s="21">
        <f t="shared" si="5"/>
        <v>633</v>
      </c>
      <c r="K29" s="21">
        <f>MAX('019-010155-3'!F38,'019-010155-3'!I38,'019-010155-3'!L38)</f>
        <v>264</v>
      </c>
      <c r="L29" s="21">
        <f t="shared" si="6"/>
        <v>369</v>
      </c>
      <c r="M29" s="21">
        <f>MAX('019-009733-2'!G38,'019-009733-2'!J38,'019-009733-2'!M38)</f>
        <v>71</v>
      </c>
      <c r="N29" s="21">
        <f>MAX('019-000177-3'!F38,'019-000177-3'!I38,'019-000177-3'!L38)</f>
        <v>440</v>
      </c>
      <c r="O29" s="21">
        <f>MAX('019-000589-3'!F39,'019-000589-3'!I39,'019-000589-3'!L39)</f>
        <v>30</v>
      </c>
      <c r="P29" s="21">
        <f t="shared" si="7"/>
        <v>410</v>
      </c>
      <c r="Q29" s="21">
        <f>MAX('019-000590-3'!F39,'019-000590-3'!I39,'019-000590-3'!L39)</f>
        <v>34</v>
      </c>
      <c r="R29" s="37">
        <f t="shared" si="8"/>
        <v>444</v>
      </c>
    </row>
    <row r="30" spans="1:18" x14ac:dyDescent="0.25">
      <c r="A30" s="38">
        <f t="shared" si="0"/>
        <v>3244</v>
      </c>
      <c r="B30" s="20">
        <v>0.95833333333333304</v>
      </c>
      <c r="C30" s="42">
        <f t="shared" si="1"/>
        <v>601</v>
      </c>
      <c r="D30" s="112">
        <v>29</v>
      </c>
      <c r="E30" s="92">
        <f t="shared" si="2"/>
        <v>630</v>
      </c>
      <c r="F30" s="21">
        <f t="shared" si="3"/>
        <v>630</v>
      </c>
      <c r="G30" s="21">
        <f>MAX('019-010154-3'!F39,'019-010154-3'!I39,'019-010154-3'!L39)</f>
        <v>188</v>
      </c>
      <c r="H30" s="21">
        <f t="shared" si="4"/>
        <v>442</v>
      </c>
      <c r="I30" s="21">
        <f>MAX('019-010295-3'!F39,'019-010295-3'!I39,'019-010295-3'!L39)</f>
        <v>17</v>
      </c>
      <c r="J30" s="21">
        <f t="shared" si="5"/>
        <v>459</v>
      </c>
      <c r="K30" s="21">
        <f>MAX('019-010155-3'!F39,'019-010155-3'!I39,'019-010155-3'!L39)</f>
        <v>175</v>
      </c>
      <c r="L30" s="21">
        <f t="shared" si="6"/>
        <v>284</v>
      </c>
      <c r="M30" s="21">
        <f>MAX('019-009733-2'!G39,'019-009733-2'!J39,'019-009733-2'!M39)</f>
        <v>46</v>
      </c>
      <c r="N30" s="21">
        <f>MAX('019-000177-3'!F39,'019-000177-3'!I39,'019-000177-3'!L39)</f>
        <v>330</v>
      </c>
      <c r="O30" s="21">
        <f>MAX('019-000589-3'!F40,'019-000589-3'!I40,'019-000589-3'!L40)</f>
        <v>19</v>
      </c>
      <c r="P30" s="21">
        <f t="shared" si="7"/>
        <v>311</v>
      </c>
      <c r="Q30" s="21">
        <f>MAX('019-000590-3'!F40,'019-000590-3'!I40,'019-000590-3'!L40)</f>
        <v>16</v>
      </c>
      <c r="R30" s="37">
        <f t="shared" si="8"/>
        <v>327</v>
      </c>
    </row>
    <row r="31" spans="1:18" x14ac:dyDescent="0.25">
      <c r="A31" s="38"/>
      <c r="B31" s="83"/>
      <c r="C31" s="22" t="s">
        <v>256</v>
      </c>
      <c r="D31" s="92"/>
      <c r="E31" s="9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7"/>
    </row>
    <row r="32" spans="1:18" s="81" customFormat="1" x14ac:dyDescent="0.25">
      <c r="B32" s="95"/>
      <c r="C32" s="80" t="s">
        <v>253</v>
      </c>
      <c r="D32" s="80"/>
      <c r="E32" s="80"/>
    </row>
    <row r="33" spans="1:17" x14ac:dyDescent="0.25">
      <c r="A33" t="s">
        <v>43</v>
      </c>
      <c r="B33" s="22"/>
      <c r="C33" s="17">
        <v>1</v>
      </c>
      <c r="D33" s="17">
        <v>2</v>
      </c>
      <c r="E33" s="17">
        <v>3</v>
      </c>
      <c r="F33" s="17">
        <v>4</v>
      </c>
      <c r="G33" s="17">
        <v>5</v>
      </c>
      <c r="H33" s="17">
        <v>6</v>
      </c>
      <c r="I33" s="17">
        <v>7</v>
      </c>
      <c r="J33" s="17">
        <v>8</v>
      </c>
      <c r="K33" s="17">
        <v>9</v>
      </c>
      <c r="L33" s="17">
        <v>10</v>
      </c>
      <c r="M33" s="17">
        <v>11</v>
      </c>
      <c r="N33" s="21">
        <v>12</v>
      </c>
      <c r="O33" s="17">
        <v>13</v>
      </c>
      <c r="P33" s="21">
        <v>14</v>
      </c>
      <c r="Q33" s="17">
        <v>15</v>
      </c>
    </row>
    <row r="34" spans="1:17" x14ac:dyDescent="0.25">
      <c r="B34" s="16" t="s">
        <v>203</v>
      </c>
      <c r="C34" s="17" t="s">
        <v>201</v>
      </c>
      <c r="D34" s="17" t="s">
        <v>198</v>
      </c>
      <c r="E34" s="17" t="s">
        <v>199</v>
      </c>
      <c r="F34" s="17" t="s">
        <v>200</v>
      </c>
      <c r="G34" s="17" t="s">
        <v>197</v>
      </c>
      <c r="H34" s="17" t="s">
        <v>194</v>
      </c>
      <c r="I34" s="17" t="s">
        <v>195</v>
      </c>
      <c r="J34" s="17" t="s">
        <v>196</v>
      </c>
      <c r="K34" s="17" t="s">
        <v>193</v>
      </c>
      <c r="L34" s="17" t="s">
        <v>190</v>
      </c>
      <c r="M34" s="17" t="s">
        <v>191</v>
      </c>
      <c r="N34" s="17" t="s">
        <v>192</v>
      </c>
      <c r="O34" s="17" t="s">
        <v>189</v>
      </c>
      <c r="P34" s="101" t="s">
        <v>251</v>
      </c>
      <c r="Q34" s="99" t="s">
        <v>252</v>
      </c>
    </row>
    <row r="35" spans="1:17" x14ac:dyDescent="0.25">
      <c r="B35" s="16" t="s">
        <v>6</v>
      </c>
      <c r="C35" s="17"/>
      <c r="D35" s="17" t="s">
        <v>32</v>
      </c>
      <c r="E35" s="17"/>
      <c r="F35" s="17" t="s">
        <v>28</v>
      </c>
      <c r="G35" s="17" t="s">
        <v>25</v>
      </c>
      <c r="H35" s="17" t="s">
        <v>22</v>
      </c>
      <c r="I35" s="17"/>
      <c r="J35" s="42" t="s">
        <v>18</v>
      </c>
      <c r="K35" s="17"/>
      <c r="L35" s="17" t="s">
        <v>14</v>
      </c>
      <c r="M35" s="17"/>
      <c r="N35" s="17" t="s">
        <v>10</v>
      </c>
      <c r="O35" s="17"/>
    </row>
    <row r="36" spans="1:17" x14ac:dyDescent="0.25">
      <c r="B36" s="16" t="s">
        <v>202</v>
      </c>
      <c r="C36" s="17" t="s">
        <v>40</v>
      </c>
      <c r="D36" s="17" t="s">
        <v>41</v>
      </c>
      <c r="E36" s="17" t="s">
        <v>40</v>
      </c>
      <c r="F36" s="17" t="s">
        <v>42</v>
      </c>
      <c r="G36" s="17" t="s">
        <v>40</v>
      </c>
      <c r="H36" s="17" t="s">
        <v>41</v>
      </c>
      <c r="I36" s="17" t="s">
        <v>40</v>
      </c>
      <c r="J36" s="17" t="s">
        <v>42</v>
      </c>
      <c r="K36" s="17" t="s">
        <v>40</v>
      </c>
      <c r="L36" s="17" t="s">
        <v>41</v>
      </c>
      <c r="M36" s="17" t="s">
        <v>40</v>
      </c>
      <c r="N36" s="17" t="s">
        <v>42</v>
      </c>
      <c r="O36" s="17" t="s">
        <v>40</v>
      </c>
      <c r="P36" s="17" t="s">
        <v>41</v>
      </c>
      <c r="Q36" s="17" t="s">
        <v>40</v>
      </c>
    </row>
    <row r="37" spans="1:17" x14ac:dyDescent="0.2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5">
      <c r="A38" s="38">
        <f t="shared" ref="A38:A61" si="9">SUM(C38:O38)</f>
        <v>1541</v>
      </c>
      <c r="B38" s="20">
        <v>0</v>
      </c>
      <c r="C38" s="21">
        <f>E38+D38</f>
        <v>169</v>
      </c>
      <c r="D38" s="21">
        <f>MAX('019-000591-1'!E17:M17)</f>
        <v>9</v>
      </c>
      <c r="E38" s="21">
        <f>G38-F38</f>
        <v>160</v>
      </c>
      <c r="F38" s="21">
        <f>MAX('019-000592-1'!E17:M17)</f>
        <v>3</v>
      </c>
      <c r="G38" s="21">
        <f>MAX('019-000177-1'!E16:M16)</f>
        <v>163</v>
      </c>
      <c r="H38" s="21">
        <f>MAX('019-009882-1'!E16:M16)</f>
        <v>23</v>
      </c>
      <c r="I38" s="21">
        <f>G38-H38</f>
        <v>140</v>
      </c>
      <c r="J38" s="21">
        <f>MAX('019-009732-4'!E16:M16)</f>
        <v>91</v>
      </c>
      <c r="K38" s="21">
        <f>I38+J38</f>
        <v>231</v>
      </c>
      <c r="L38" s="21">
        <f>MAX('019-009790-2'!E16:M16)</f>
        <v>18</v>
      </c>
      <c r="M38" s="21">
        <f>K38-L38</f>
        <v>213</v>
      </c>
      <c r="N38" s="21">
        <f>MAX('019-010398-2'!E16:M16)</f>
        <v>54</v>
      </c>
      <c r="O38" s="21">
        <f>M38+N38</f>
        <v>267</v>
      </c>
      <c r="P38" s="111">
        <v>17</v>
      </c>
      <c r="Q38" s="37">
        <f>O38-P38</f>
        <v>250</v>
      </c>
    </row>
    <row r="39" spans="1:17" x14ac:dyDescent="0.25">
      <c r="A39" s="38">
        <f t="shared" si="9"/>
        <v>972</v>
      </c>
      <c r="B39" s="20">
        <v>4.1666666666666664E-2</v>
      </c>
      <c r="C39" s="21">
        <f t="shared" ref="C39:C61" si="10">E39+D39</f>
        <v>101</v>
      </c>
      <c r="D39" s="21">
        <f>MAX('019-000591-1'!E18:M18)</f>
        <v>9</v>
      </c>
      <c r="E39" s="21">
        <f t="shared" ref="E39:E61" si="11">G39-F39</f>
        <v>92</v>
      </c>
      <c r="F39" s="21">
        <f>MAX('019-000592-1'!E18:M18)</f>
        <v>6</v>
      </c>
      <c r="G39" s="21">
        <f>MAX('019-000177-1'!E17:M17)</f>
        <v>98</v>
      </c>
      <c r="H39" s="21">
        <f>MAX('019-009882-1'!E17:M17)</f>
        <v>12</v>
      </c>
      <c r="I39" s="21">
        <f t="shared" ref="I39:I61" si="12">G39-H39</f>
        <v>86</v>
      </c>
      <c r="J39" s="21">
        <f>MAX('019-009732-4'!E17:M17)</f>
        <v>57</v>
      </c>
      <c r="K39" s="21">
        <f t="shared" ref="K39:K61" si="13">I39+J39</f>
        <v>143</v>
      </c>
      <c r="L39" s="21">
        <f>MAX('019-009790-2'!E17:M17)</f>
        <v>10</v>
      </c>
      <c r="M39" s="21">
        <f t="shared" ref="M39:M61" si="14">K39-L39</f>
        <v>133</v>
      </c>
      <c r="N39" s="21">
        <f>MAX('019-010398-2'!E17:M17)</f>
        <v>46</v>
      </c>
      <c r="O39" s="21">
        <f t="shared" ref="O39:O61" si="15">M39+N39</f>
        <v>179</v>
      </c>
      <c r="P39" s="111">
        <v>13</v>
      </c>
      <c r="Q39" s="37">
        <f t="shared" ref="Q39:Q61" si="16">O39-P39</f>
        <v>166</v>
      </c>
    </row>
    <row r="40" spans="1:17" x14ac:dyDescent="0.25">
      <c r="A40" s="38">
        <f t="shared" si="9"/>
        <v>1089</v>
      </c>
      <c r="B40" s="20">
        <v>8.3333333333333301E-2</v>
      </c>
      <c r="C40" s="21">
        <f t="shared" si="10"/>
        <v>121</v>
      </c>
      <c r="D40" s="21">
        <f>MAX('019-000591-1'!E19:M19)</f>
        <v>5</v>
      </c>
      <c r="E40" s="21">
        <f t="shared" si="11"/>
        <v>116</v>
      </c>
      <c r="F40" s="21">
        <f>MAX('019-000592-1'!E19:M19)</f>
        <v>8</v>
      </c>
      <c r="G40" s="21">
        <f>MAX('019-000177-1'!E18:M18)</f>
        <v>124</v>
      </c>
      <c r="H40" s="21">
        <f>MAX('019-009882-1'!E18:M18)</f>
        <v>11</v>
      </c>
      <c r="I40" s="21">
        <f t="shared" si="12"/>
        <v>113</v>
      </c>
      <c r="J40" s="21">
        <f>MAX('019-009732-4'!E18:M18)</f>
        <v>45</v>
      </c>
      <c r="K40" s="21">
        <f t="shared" si="13"/>
        <v>158</v>
      </c>
      <c r="L40" s="21">
        <f>MAX('019-009790-2'!E18:M18)</f>
        <v>10</v>
      </c>
      <c r="M40" s="21">
        <f t="shared" si="14"/>
        <v>148</v>
      </c>
      <c r="N40" s="21">
        <f>MAX('019-010398-2'!E18:M18)</f>
        <v>41</v>
      </c>
      <c r="O40" s="21">
        <f t="shared" si="15"/>
        <v>189</v>
      </c>
      <c r="P40" s="111">
        <v>12</v>
      </c>
      <c r="Q40" s="37">
        <f t="shared" si="16"/>
        <v>177</v>
      </c>
    </row>
    <row r="41" spans="1:17" x14ac:dyDescent="0.25">
      <c r="A41" s="38">
        <f t="shared" si="9"/>
        <v>1451</v>
      </c>
      <c r="B41" s="20">
        <v>0.125</v>
      </c>
      <c r="C41" s="21">
        <f t="shared" si="10"/>
        <v>160</v>
      </c>
      <c r="D41" s="21">
        <f>MAX('019-000591-1'!E20:M20)</f>
        <v>9</v>
      </c>
      <c r="E41" s="21">
        <f t="shared" si="11"/>
        <v>151</v>
      </c>
      <c r="F41" s="21">
        <f>MAX('019-000592-1'!E20:M20)</f>
        <v>10</v>
      </c>
      <c r="G41" s="21">
        <f>MAX('019-000177-1'!E19:M19)</f>
        <v>161</v>
      </c>
      <c r="H41" s="21">
        <f>MAX('019-009882-1'!E19:M19)</f>
        <v>14</v>
      </c>
      <c r="I41" s="21">
        <f t="shared" si="12"/>
        <v>147</v>
      </c>
      <c r="J41" s="21">
        <f>MAX('019-009732-4'!E19:M19)</f>
        <v>69</v>
      </c>
      <c r="K41" s="21">
        <f t="shared" si="13"/>
        <v>216</v>
      </c>
      <c r="L41" s="21">
        <f>MAX('019-009790-2'!E19:M19)</f>
        <v>40</v>
      </c>
      <c r="M41" s="21">
        <f t="shared" si="14"/>
        <v>176</v>
      </c>
      <c r="N41" s="21">
        <f>MAX('019-010398-2'!E19:M19)</f>
        <v>61</v>
      </c>
      <c r="O41" s="21">
        <f t="shared" si="15"/>
        <v>237</v>
      </c>
      <c r="P41" s="111">
        <v>14</v>
      </c>
      <c r="Q41" s="37">
        <f t="shared" si="16"/>
        <v>223</v>
      </c>
    </row>
    <row r="42" spans="1:17" x14ac:dyDescent="0.25">
      <c r="A42" s="38">
        <f t="shared" si="9"/>
        <v>3597</v>
      </c>
      <c r="B42" s="20">
        <v>0.16666666666666699</v>
      </c>
      <c r="C42" s="21">
        <f t="shared" si="10"/>
        <v>378</v>
      </c>
      <c r="D42" s="21">
        <f>MAX('019-000591-1'!E21:M21)</f>
        <v>6</v>
      </c>
      <c r="E42" s="21">
        <f t="shared" si="11"/>
        <v>372</v>
      </c>
      <c r="F42" s="21">
        <f>MAX('019-000592-1'!E21:M21)</f>
        <v>19</v>
      </c>
      <c r="G42" s="21">
        <f>MAX('019-000177-1'!E20:M20)</f>
        <v>391</v>
      </c>
      <c r="H42" s="21">
        <f>MAX('019-009882-1'!E20:M20)</f>
        <v>38</v>
      </c>
      <c r="I42" s="21">
        <f t="shared" si="12"/>
        <v>353</v>
      </c>
      <c r="J42" s="21">
        <f>MAX('019-009732-4'!E20:M20)</f>
        <v>177</v>
      </c>
      <c r="K42" s="21">
        <f t="shared" si="13"/>
        <v>530</v>
      </c>
      <c r="L42" s="21">
        <f>MAX('019-009790-2'!E20:M20)</f>
        <v>31</v>
      </c>
      <c r="M42" s="21">
        <f t="shared" si="14"/>
        <v>499</v>
      </c>
      <c r="N42" s="21">
        <f>MAX('019-010398-2'!E20:M20)</f>
        <v>152</v>
      </c>
      <c r="O42" s="21">
        <f t="shared" si="15"/>
        <v>651</v>
      </c>
      <c r="P42" s="111">
        <v>20</v>
      </c>
      <c r="Q42" s="37">
        <f t="shared" si="16"/>
        <v>631</v>
      </c>
    </row>
    <row r="43" spans="1:17" x14ac:dyDescent="0.25">
      <c r="A43" s="38">
        <f t="shared" si="9"/>
        <v>11503</v>
      </c>
      <c r="B43" s="20">
        <v>0.20833333333333301</v>
      </c>
      <c r="C43" s="21">
        <f t="shared" si="10"/>
        <v>1167</v>
      </c>
      <c r="D43" s="21">
        <f>MAX('019-000591-1'!E22:M22)</f>
        <v>18</v>
      </c>
      <c r="E43" s="21">
        <f t="shared" si="11"/>
        <v>1149</v>
      </c>
      <c r="F43" s="21">
        <f>MAX('019-000592-1'!E22:M22)</f>
        <v>87</v>
      </c>
      <c r="G43" s="21">
        <f>MAX('019-000177-1'!E21:M21)</f>
        <v>1236</v>
      </c>
      <c r="H43" s="21">
        <f>MAX('019-009882-1'!E21:M21)</f>
        <v>90</v>
      </c>
      <c r="I43" s="21">
        <f t="shared" si="12"/>
        <v>1146</v>
      </c>
      <c r="J43" s="21">
        <f>MAX('019-009732-4'!E21:M21)</f>
        <v>582</v>
      </c>
      <c r="K43" s="21">
        <f t="shared" si="13"/>
        <v>1728</v>
      </c>
      <c r="L43" s="21">
        <f>MAX('019-009790-2'!E21:M21)</f>
        <v>66</v>
      </c>
      <c r="M43" s="21">
        <f t="shared" si="14"/>
        <v>1662</v>
      </c>
      <c r="N43" s="21">
        <f>MAX('019-010398-2'!E21:M21)</f>
        <v>455</v>
      </c>
      <c r="O43" s="21">
        <f t="shared" si="15"/>
        <v>2117</v>
      </c>
      <c r="P43" s="111">
        <v>39</v>
      </c>
      <c r="Q43" s="37">
        <f t="shared" si="16"/>
        <v>2078</v>
      </c>
    </row>
    <row r="44" spans="1:17" s="52" customFormat="1" x14ac:dyDescent="0.25">
      <c r="A44" s="38">
        <f t="shared" si="9"/>
        <v>22139</v>
      </c>
      <c r="B44" s="50">
        <v>0.25</v>
      </c>
      <c r="C44" s="21">
        <f t="shared" si="10"/>
        <v>2122</v>
      </c>
      <c r="D44" s="21">
        <f>MAX('019-000591-1'!E23:M23)</f>
        <v>71</v>
      </c>
      <c r="E44" s="21">
        <f t="shared" si="11"/>
        <v>2051</v>
      </c>
      <c r="F44" s="21">
        <f>MAX('019-000592-1'!E23:M23)</f>
        <v>264</v>
      </c>
      <c r="G44" s="21">
        <f>MAX('019-000177-1'!E22:M22)</f>
        <v>2315</v>
      </c>
      <c r="H44" s="21">
        <f>MAX('019-009882-1'!E22:M22)</f>
        <v>202</v>
      </c>
      <c r="I44" s="21">
        <f t="shared" si="12"/>
        <v>2113</v>
      </c>
      <c r="J44" s="21">
        <f>MAX('019-009732-4'!E22:M22)</f>
        <v>1203</v>
      </c>
      <c r="K44" s="21">
        <f t="shared" si="13"/>
        <v>3316</v>
      </c>
      <c r="L44" s="21">
        <f>MAX('019-009790-2'!E22:M22)</f>
        <v>122</v>
      </c>
      <c r="M44" s="21">
        <f t="shared" si="14"/>
        <v>3194</v>
      </c>
      <c r="N44" s="21">
        <f>MAX('019-010398-2'!E22:M22)</f>
        <v>986</v>
      </c>
      <c r="O44" s="21">
        <f t="shared" si="15"/>
        <v>4180</v>
      </c>
      <c r="P44" s="111">
        <v>65</v>
      </c>
      <c r="Q44" s="37">
        <f t="shared" si="16"/>
        <v>4115</v>
      </c>
    </row>
    <row r="45" spans="1:17" s="51" customFormat="1" x14ac:dyDescent="0.25">
      <c r="A45" s="39">
        <f t="shared" si="9"/>
        <v>21044</v>
      </c>
      <c r="B45" s="40">
        <v>0.29166666666666702</v>
      </c>
      <c r="C45" s="44">
        <f t="shared" si="10"/>
        <v>1957</v>
      </c>
      <c r="D45" s="44">
        <f>MAX('019-000591-1'!E24:M24)</f>
        <v>126</v>
      </c>
      <c r="E45" s="44">
        <f t="shared" si="11"/>
        <v>1831</v>
      </c>
      <c r="F45" s="44">
        <f>MAX('019-000592-1'!E24:M24)</f>
        <v>279</v>
      </c>
      <c r="G45" s="44">
        <f>MAX('019-000177-1'!E23:M23)</f>
        <v>2110</v>
      </c>
      <c r="H45" s="44">
        <f>MAX('019-009882-1'!E23:M23)</f>
        <v>264</v>
      </c>
      <c r="I45" s="44">
        <f t="shared" si="12"/>
        <v>1846</v>
      </c>
      <c r="J45" s="44">
        <f>MAX('019-009732-4'!E23:M23)</f>
        <v>1319</v>
      </c>
      <c r="K45" s="44">
        <f t="shared" si="13"/>
        <v>3165</v>
      </c>
      <c r="L45" s="44">
        <f>MAX('019-009790-2'!E23:M23)</f>
        <v>155</v>
      </c>
      <c r="M45" s="44">
        <f t="shared" si="14"/>
        <v>3010</v>
      </c>
      <c r="N45" s="44">
        <f>MAX('019-010398-2'!E23:M23)</f>
        <v>986</v>
      </c>
      <c r="O45" s="44">
        <f t="shared" si="15"/>
        <v>3996</v>
      </c>
      <c r="P45" s="96">
        <v>77</v>
      </c>
      <c r="Q45" s="45">
        <f t="shared" si="16"/>
        <v>3919</v>
      </c>
    </row>
    <row r="46" spans="1:17" x14ac:dyDescent="0.25">
      <c r="A46" s="38">
        <f t="shared" si="9"/>
        <v>16834</v>
      </c>
      <c r="B46" s="20">
        <v>0.33333333333333298</v>
      </c>
      <c r="C46" s="21">
        <f t="shared" si="10"/>
        <v>1571</v>
      </c>
      <c r="D46" s="21">
        <f>MAX('019-000591-1'!E25:M25)</f>
        <v>118</v>
      </c>
      <c r="E46" s="21">
        <f t="shared" si="11"/>
        <v>1453</v>
      </c>
      <c r="F46" s="21">
        <f>MAX('019-000592-1'!E25:M25)</f>
        <v>210</v>
      </c>
      <c r="G46" s="21">
        <f>MAX('019-000177-1'!E24:M24)</f>
        <v>1663</v>
      </c>
      <c r="H46" s="21">
        <f>MAX('019-009882-1'!E24:M24)</f>
        <v>254</v>
      </c>
      <c r="I46" s="21">
        <f t="shared" si="12"/>
        <v>1409</v>
      </c>
      <c r="J46" s="21">
        <f>MAX('019-009732-4'!E24:M24)</f>
        <v>1086</v>
      </c>
      <c r="K46" s="21">
        <f t="shared" si="13"/>
        <v>2495</v>
      </c>
      <c r="L46" s="21">
        <f>MAX('019-009790-2'!E24:M24)</f>
        <v>153</v>
      </c>
      <c r="M46" s="21">
        <f t="shared" si="14"/>
        <v>2342</v>
      </c>
      <c r="N46" s="21">
        <f>MAX('019-010398-2'!E24:M24)</f>
        <v>869</v>
      </c>
      <c r="O46" s="21">
        <f t="shared" si="15"/>
        <v>3211</v>
      </c>
      <c r="P46" s="111">
        <v>76</v>
      </c>
      <c r="Q46" s="37">
        <f t="shared" si="16"/>
        <v>3135</v>
      </c>
    </row>
    <row r="47" spans="1:17" x14ac:dyDescent="0.25">
      <c r="A47" s="38">
        <f t="shared" si="9"/>
        <v>12910</v>
      </c>
      <c r="B47" s="20">
        <v>0.375</v>
      </c>
      <c r="C47" s="21">
        <f t="shared" si="10"/>
        <v>1296</v>
      </c>
      <c r="D47" s="21">
        <f>MAX('019-000591-1'!E26:M26)</f>
        <v>88</v>
      </c>
      <c r="E47" s="21">
        <f t="shared" si="11"/>
        <v>1208</v>
      </c>
      <c r="F47" s="21">
        <f>MAX('019-000592-1'!E26:M26)</f>
        <v>104</v>
      </c>
      <c r="G47" s="21">
        <f>MAX('019-000177-1'!E25:M25)</f>
        <v>1312</v>
      </c>
      <c r="H47" s="21">
        <f>MAX('019-009882-1'!E25:M25)</f>
        <v>219</v>
      </c>
      <c r="I47" s="21">
        <f t="shared" si="12"/>
        <v>1093</v>
      </c>
      <c r="J47" s="21">
        <f>MAX('019-009732-4'!E25:M25)</f>
        <v>809</v>
      </c>
      <c r="K47" s="21">
        <f t="shared" si="13"/>
        <v>1902</v>
      </c>
      <c r="L47" s="21">
        <f>MAX('019-009790-2'!E25:M25)</f>
        <v>219</v>
      </c>
      <c r="M47" s="21">
        <f t="shared" si="14"/>
        <v>1683</v>
      </c>
      <c r="N47" s="21">
        <f>MAX('019-010398-2'!E25:M25)</f>
        <v>647</v>
      </c>
      <c r="O47" s="21">
        <f t="shared" si="15"/>
        <v>2330</v>
      </c>
      <c r="P47" s="111">
        <v>83</v>
      </c>
      <c r="Q47" s="37">
        <f t="shared" si="16"/>
        <v>2247</v>
      </c>
    </row>
    <row r="48" spans="1:17" x14ac:dyDescent="0.25">
      <c r="A48" s="38">
        <f t="shared" si="9"/>
        <v>11936</v>
      </c>
      <c r="B48" s="20">
        <v>0.41666666666666702</v>
      </c>
      <c r="C48" s="21">
        <f t="shared" si="10"/>
        <v>1228</v>
      </c>
      <c r="D48" s="21">
        <f>MAX('019-000591-1'!E27:M27)</f>
        <v>101</v>
      </c>
      <c r="E48" s="21">
        <f t="shared" si="11"/>
        <v>1127</v>
      </c>
      <c r="F48" s="21">
        <f>MAX('019-000592-1'!E27:M27)</f>
        <v>78</v>
      </c>
      <c r="G48" s="21">
        <f>MAX('019-000177-1'!E26:M26)</f>
        <v>1205</v>
      </c>
      <c r="H48" s="21">
        <f>MAX('019-009882-1'!E26:M26)</f>
        <v>222</v>
      </c>
      <c r="I48" s="21">
        <f t="shared" si="12"/>
        <v>983</v>
      </c>
      <c r="J48" s="21">
        <f>MAX('019-009732-4'!E26:M26)</f>
        <v>737</v>
      </c>
      <c r="K48" s="21">
        <f t="shared" si="13"/>
        <v>1720</v>
      </c>
      <c r="L48" s="21">
        <f>MAX('019-009790-2'!E26:M26)</f>
        <v>123</v>
      </c>
      <c r="M48" s="21">
        <f t="shared" si="14"/>
        <v>1597</v>
      </c>
      <c r="N48" s="21">
        <f>MAX('019-010398-2'!E26:M26)</f>
        <v>609</v>
      </c>
      <c r="O48" s="21">
        <f t="shared" si="15"/>
        <v>2206</v>
      </c>
      <c r="P48" s="111">
        <v>90</v>
      </c>
      <c r="Q48" s="37">
        <f t="shared" si="16"/>
        <v>2116</v>
      </c>
    </row>
    <row r="49" spans="1:17" x14ac:dyDescent="0.25">
      <c r="A49" s="38">
        <f t="shared" si="9"/>
        <v>11975</v>
      </c>
      <c r="B49" s="20">
        <v>0.45833333333333298</v>
      </c>
      <c r="C49" s="21">
        <f t="shared" si="10"/>
        <v>1228</v>
      </c>
      <c r="D49" s="21">
        <f>MAX('019-000591-1'!E28:M28)</f>
        <v>101</v>
      </c>
      <c r="E49" s="21">
        <f t="shared" si="11"/>
        <v>1127</v>
      </c>
      <c r="F49" s="21">
        <f>MAX('019-000592-1'!E28:M28)</f>
        <v>69</v>
      </c>
      <c r="G49" s="21">
        <f>MAX('019-000177-1'!E27:M27)</f>
        <v>1196</v>
      </c>
      <c r="H49" s="21">
        <f>MAX('019-009882-1'!E27:M27)</f>
        <v>236</v>
      </c>
      <c r="I49" s="21">
        <f t="shared" si="12"/>
        <v>960</v>
      </c>
      <c r="J49" s="21">
        <f>MAX('019-009732-4'!E27:M27)</f>
        <v>768</v>
      </c>
      <c r="K49" s="21">
        <f t="shared" si="13"/>
        <v>1728</v>
      </c>
      <c r="L49" s="21">
        <f>MAX('019-009790-2'!E27:M27)</f>
        <v>110</v>
      </c>
      <c r="M49" s="21">
        <f t="shared" si="14"/>
        <v>1618</v>
      </c>
      <c r="N49" s="21">
        <f>MAX('019-010398-2'!E27:M27)</f>
        <v>608</v>
      </c>
      <c r="O49" s="21">
        <f t="shared" si="15"/>
        <v>2226</v>
      </c>
      <c r="P49" s="111">
        <v>94</v>
      </c>
      <c r="Q49" s="37">
        <f t="shared" si="16"/>
        <v>2132</v>
      </c>
    </row>
    <row r="50" spans="1:17" x14ac:dyDescent="0.25">
      <c r="A50" s="38">
        <f t="shared" si="9"/>
        <v>12256</v>
      </c>
      <c r="B50" s="20">
        <v>0.5</v>
      </c>
      <c r="C50" s="21">
        <f t="shared" si="10"/>
        <v>1248</v>
      </c>
      <c r="D50" s="21">
        <f>MAX('019-000591-1'!E29:M29)</f>
        <v>113</v>
      </c>
      <c r="E50" s="21">
        <f t="shared" si="11"/>
        <v>1135</v>
      </c>
      <c r="F50" s="21">
        <f>MAX('019-000592-1'!E29:M29)</f>
        <v>71</v>
      </c>
      <c r="G50" s="21">
        <f>MAX('019-000177-1'!E28:M28)</f>
        <v>1206</v>
      </c>
      <c r="H50" s="21">
        <f>MAX('019-009882-1'!E28:M28)</f>
        <v>263</v>
      </c>
      <c r="I50" s="21">
        <f t="shared" si="12"/>
        <v>943</v>
      </c>
      <c r="J50" s="21">
        <f>MAX('019-009732-4'!E28:M28)</f>
        <v>809</v>
      </c>
      <c r="K50" s="21">
        <f t="shared" si="13"/>
        <v>1752</v>
      </c>
      <c r="L50" s="21">
        <f>MAX('019-009790-2'!E28:M28)</f>
        <v>136</v>
      </c>
      <c r="M50" s="21">
        <f t="shared" si="14"/>
        <v>1616</v>
      </c>
      <c r="N50" s="21">
        <f>MAX('019-010398-2'!E28:M28)</f>
        <v>674</v>
      </c>
      <c r="O50" s="21">
        <f t="shared" si="15"/>
        <v>2290</v>
      </c>
      <c r="P50" s="111">
        <v>96</v>
      </c>
      <c r="Q50" s="37">
        <f t="shared" si="16"/>
        <v>2194</v>
      </c>
    </row>
    <row r="51" spans="1:17" x14ac:dyDescent="0.25">
      <c r="A51" s="38">
        <f t="shared" si="9"/>
        <v>12042</v>
      </c>
      <c r="B51" s="20">
        <v>0.54166666666666696</v>
      </c>
      <c r="C51" s="21">
        <f t="shared" si="10"/>
        <v>1186</v>
      </c>
      <c r="D51" s="21">
        <f>MAX('019-000591-1'!E30:M30)</f>
        <v>92</v>
      </c>
      <c r="E51" s="21">
        <f t="shared" si="11"/>
        <v>1094</v>
      </c>
      <c r="F51" s="21">
        <f>MAX('019-000592-1'!E30:M30)</f>
        <v>73</v>
      </c>
      <c r="G51" s="21">
        <f>MAX('019-000177-1'!E29:M29)</f>
        <v>1167</v>
      </c>
      <c r="H51" s="21">
        <f>MAX('019-009882-1'!E29:M29)</f>
        <v>212</v>
      </c>
      <c r="I51" s="21">
        <f t="shared" si="12"/>
        <v>955</v>
      </c>
      <c r="J51" s="21">
        <f>MAX('019-009732-4'!E29:M29)</f>
        <v>786</v>
      </c>
      <c r="K51" s="21">
        <f t="shared" si="13"/>
        <v>1741</v>
      </c>
      <c r="L51" s="21">
        <f>MAX('019-009790-2'!E29:M29)</f>
        <v>134</v>
      </c>
      <c r="M51" s="21">
        <f t="shared" si="14"/>
        <v>1607</v>
      </c>
      <c r="N51" s="21">
        <f>MAX('019-010398-2'!E29:M29)</f>
        <v>694</v>
      </c>
      <c r="O51" s="21">
        <f t="shared" si="15"/>
        <v>2301</v>
      </c>
      <c r="P51" s="111">
        <v>98</v>
      </c>
      <c r="Q51" s="37">
        <f t="shared" si="16"/>
        <v>2203</v>
      </c>
    </row>
    <row r="52" spans="1:17" x14ac:dyDescent="0.25">
      <c r="A52" s="38">
        <f t="shared" si="9"/>
        <v>12923</v>
      </c>
      <c r="B52" s="20">
        <v>0.58333333333333304</v>
      </c>
      <c r="C52" s="21">
        <f t="shared" si="10"/>
        <v>1358</v>
      </c>
      <c r="D52" s="21">
        <f>MAX('019-000591-1'!E31:M31)</f>
        <v>141</v>
      </c>
      <c r="E52" s="21">
        <f t="shared" si="11"/>
        <v>1217</v>
      </c>
      <c r="F52" s="21">
        <f>MAX('019-000592-1'!E31:M31)</f>
        <v>67</v>
      </c>
      <c r="G52" s="21">
        <f>MAX('019-000177-1'!E30:M30)</f>
        <v>1284</v>
      </c>
      <c r="H52" s="21">
        <f>MAX('019-009882-1'!E30:M30)</f>
        <v>217</v>
      </c>
      <c r="I52" s="21">
        <f t="shared" si="12"/>
        <v>1067</v>
      </c>
      <c r="J52" s="21">
        <f>MAX('019-009732-4'!E30:M30)</f>
        <v>797</v>
      </c>
      <c r="K52" s="21">
        <f t="shared" si="13"/>
        <v>1864</v>
      </c>
      <c r="L52" s="21">
        <f>MAX('019-009790-2'!E30:M30)</f>
        <v>113</v>
      </c>
      <c r="M52" s="21">
        <f t="shared" si="14"/>
        <v>1751</v>
      </c>
      <c r="N52" s="21">
        <f>MAX('019-010398-2'!E30:M30)</f>
        <v>648</v>
      </c>
      <c r="O52" s="21">
        <f t="shared" si="15"/>
        <v>2399</v>
      </c>
      <c r="P52" s="111">
        <v>101</v>
      </c>
      <c r="Q52" s="37">
        <f t="shared" si="16"/>
        <v>2298</v>
      </c>
    </row>
    <row r="53" spans="1:17" x14ac:dyDescent="0.25">
      <c r="A53" s="38">
        <f t="shared" si="9"/>
        <v>13412</v>
      </c>
      <c r="B53" s="20">
        <v>0.625</v>
      </c>
      <c r="C53" s="21">
        <f t="shared" si="10"/>
        <v>1414</v>
      </c>
      <c r="D53" s="21">
        <f>MAX('019-000591-1'!E32:M32)</f>
        <v>160</v>
      </c>
      <c r="E53" s="21">
        <f t="shared" si="11"/>
        <v>1254</v>
      </c>
      <c r="F53" s="21">
        <f>MAX('019-000592-1'!E32:M32)</f>
        <v>79</v>
      </c>
      <c r="G53" s="21">
        <f>MAX('019-000177-1'!E31:M31)</f>
        <v>1333</v>
      </c>
      <c r="H53" s="21">
        <f>MAX('019-009882-1'!E31:M31)</f>
        <v>238</v>
      </c>
      <c r="I53" s="21">
        <f t="shared" si="12"/>
        <v>1095</v>
      </c>
      <c r="J53" s="21">
        <f>MAX('019-009732-4'!E31:M31)</f>
        <v>778</v>
      </c>
      <c r="K53" s="21">
        <f t="shared" si="13"/>
        <v>1873</v>
      </c>
      <c r="L53" s="21">
        <f>MAX('019-009790-2'!E31:M31)</f>
        <v>148</v>
      </c>
      <c r="M53" s="21">
        <f t="shared" si="14"/>
        <v>1725</v>
      </c>
      <c r="N53" s="21">
        <f>MAX('019-010398-2'!E31:M31)</f>
        <v>795</v>
      </c>
      <c r="O53" s="21">
        <f t="shared" si="15"/>
        <v>2520</v>
      </c>
      <c r="P53" s="111">
        <v>104</v>
      </c>
      <c r="Q53" s="37">
        <f t="shared" si="16"/>
        <v>2416</v>
      </c>
    </row>
    <row r="54" spans="1:17" s="51" customFormat="1" x14ac:dyDescent="0.25">
      <c r="A54" s="39">
        <f t="shared" si="9"/>
        <v>13717</v>
      </c>
      <c r="B54" s="40">
        <v>0.66666666666666696</v>
      </c>
      <c r="C54" s="44">
        <f t="shared" si="10"/>
        <v>1437</v>
      </c>
      <c r="D54" s="44">
        <f>MAX('019-000591-1'!E33:M33)</f>
        <v>184</v>
      </c>
      <c r="E54" s="44">
        <f t="shared" si="11"/>
        <v>1253</v>
      </c>
      <c r="F54" s="44">
        <f>MAX('019-000592-1'!E33:M33)</f>
        <v>108</v>
      </c>
      <c r="G54" s="44">
        <f>MAX('019-000177-1'!E32:M32)</f>
        <v>1361</v>
      </c>
      <c r="H54" s="44">
        <f>MAX('019-009882-1'!E32:M32)</f>
        <v>225</v>
      </c>
      <c r="I54" s="44">
        <f t="shared" si="12"/>
        <v>1136</v>
      </c>
      <c r="J54" s="44">
        <f>MAX('019-009732-4'!E32:M32)</f>
        <v>812</v>
      </c>
      <c r="K54" s="44">
        <f t="shared" si="13"/>
        <v>1948</v>
      </c>
      <c r="L54" s="44">
        <f>MAX('019-009790-2'!E32:M32)</f>
        <v>183</v>
      </c>
      <c r="M54" s="44">
        <f t="shared" si="14"/>
        <v>1765</v>
      </c>
      <c r="N54" s="44">
        <f>MAX('019-010398-2'!E32:M32)</f>
        <v>770</v>
      </c>
      <c r="O54" s="44">
        <f t="shared" si="15"/>
        <v>2535</v>
      </c>
      <c r="P54" s="96">
        <v>104</v>
      </c>
      <c r="Q54" s="45">
        <f t="shared" si="16"/>
        <v>2431</v>
      </c>
    </row>
    <row r="55" spans="1:17" x14ac:dyDescent="0.25">
      <c r="A55" s="38">
        <f t="shared" si="9"/>
        <v>13457</v>
      </c>
      <c r="B55" s="20">
        <v>0.70833333333333304</v>
      </c>
      <c r="C55" s="21">
        <f t="shared" si="10"/>
        <v>1431</v>
      </c>
      <c r="D55" s="21">
        <f>MAX('019-000591-1'!E34:M34)</f>
        <v>201</v>
      </c>
      <c r="E55" s="21">
        <f t="shared" si="11"/>
        <v>1230</v>
      </c>
      <c r="F55" s="21">
        <f>MAX('019-000592-1'!E34:M34)</f>
        <v>105</v>
      </c>
      <c r="G55" s="21">
        <f>MAX('019-000177-1'!E33:M33)</f>
        <v>1335</v>
      </c>
      <c r="H55" s="21">
        <f>MAX('019-009882-1'!E33:M33)</f>
        <v>263</v>
      </c>
      <c r="I55" s="21">
        <f t="shared" si="12"/>
        <v>1072</v>
      </c>
      <c r="J55" s="21">
        <f>MAX('019-009732-4'!E33:M33)</f>
        <v>842</v>
      </c>
      <c r="K55" s="21">
        <f t="shared" si="13"/>
        <v>1914</v>
      </c>
      <c r="L55" s="21">
        <f>MAX('019-009790-2'!E33:M33)</f>
        <v>226</v>
      </c>
      <c r="M55" s="21">
        <f t="shared" si="14"/>
        <v>1688</v>
      </c>
      <c r="N55" s="21">
        <f>MAX('019-010398-2'!E33:M33)</f>
        <v>731</v>
      </c>
      <c r="O55" s="21">
        <f t="shared" si="15"/>
        <v>2419</v>
      </c>
      <c r="P55" s="111">
        <v>95</v>
      </c>
      <c r="Q55" s="37">
        <f t="shared" si="16"/>
        <v>2324</v>
      </c>
    </row>
    <row r="56" spans="1:17" x14ac:dyDescent="0.25">
      <c r="A56" s="38">
        <f t="shared" si="9"/>
        <v>10282</v>
      </c>
      <c r="B56" s="20">
        <v>0.749999999999999</v>
      </c>
      <c r="C56" s="21">
        <f t="shared" si="10"/>
        <v>1030</v>
      </c>
      <c r="D56" s="21">
        <f>MAX('019-000591-1'!E35:M35)</f>
        <v>120</v>
      </c>
      <c r="E56" s="21">
        <f t="shared" si="11"/>
        <v>910</v>
      </c>
      <c r="F56" s="21">
        <f>MAX('019-000592-1'!E35:M35)</f>
        <v>75</v>
      </c>
      <c r="G56" s="21">
        <f>MAX('019-000177-1'!E34:M34)</f>
        <v>985</v>
      </c>
      <c r="H56" s="21">
        <f>MAX('019-009882-1'!E34:M34)</f>
        <v>231</v>
      </c>
      <c r="I56" s="21">
        <f t="shared" si="12"/>
        <v>754</v>
      </c>
      <c r="J56" s="21">
        <f>MAX('019-009732-4'!E34:M34)</f>
        <v>697</v>
      </c>
      <c r="K56" s="21">
        <f t="shared" si="13"/>
        <v>1451</v>
      </c>
      <c r="L56" s="21">
        <f>MAX('019-009790-2'!E34:M34)</f>
        <v>143</v>
      </c>
      <c r="M56" s="21">
        <f t="shared" si="14"/>
        <v>1308</v>
      </c>
      <c r="N56" s="21">
        <f>MAX('019-010398-2'!E34:M34)</f>
        <v>635</v>
      </c>
      <c r="O56" s="21">
        <f t="shared" si="15"/>
        <v>1943</v>
      </c>
      <c r="P56" s="111">
        <v>76</v>
      </c>
      <c r="Q56" s="37">
        <f t="shared" si="16"/>
        <v>1867</v>
      </c>
    </row>
    <row r="57" spans="1:17" x14ac:dyDescent="0.25">
      <c r="A57" s="38">
        <f t="shared" si="9"/>
        <v>8056</v>
      </c>
      <c r="B57" s="20">
        <v>0.79166666666666496</v>
      </c>
      <c r="C57" s="21">
        <f t="shared" si="10"/>
        <v>764</v>
      </c>
      <c r="D57" s="21">
        <f>MAX('019-000591-1'!E36:M36)</f>
        <v>70</v>
      </c>
      <c r="E57" s="21">
        <f t="shared" si="11"/>
        <v>694</v>
      </c>
      <c r="F57" s="21">
        <f>MAX('019-000592-1'!E36:M36)</f>
        <v>51</v>
      </c>
      <c r="G57" s="21">
        <f>MAX('019-000177-1'!E35:M35)</f>
        <v>745</v>
      </c>
      <c r="H57" s="21">
        <f>MAX('019-009882-1'!E35:M35)</f>
        <v>143</v>
      </c>
      <c r="I57" s="21">
        <f t="shared" si="12"/>
        <v>602</v>
      </c>
      <c r="J57" s="21">
        <f>MAX('019-009732-4'!E35:M35)</f>
        <v>569</v>
      </c>
      <c r="K57" s="21">
        <f t="shared" si="13"/>
        <v>1171</v>
      </c>
      <c r="L57" s="21">
        <f>MAX('019-009790-2'!E35:M35)</f>
        <v>117</v>
      </c>
      <c r="M57" s="21">
        <f t="shared" si="14"/>
        <v>1054</v>
      </c>
      <c r="N57" s="21">
        <f>MAX('019-010398-2'!E35:M35)</f>
        <v>511</v>
      </c>
      <c r="O57" s="21">
        <f t="shared" si="15"/>
        <v>1565</v>
      </c>
      <c r="P57" s="111">
        <v>60</v>
      </c>
      <c r="Q57" s="37">
        <f t="shared" si="16"/>
        <v>1505</v>
      </c>
    </row>
    <row r="58" spans="1:17" x14ac:dyDescent="0.25">
      <c r="A58" s="38">
        <f t="shared" si="9"/>
        <v>7108</v>
      </c>
      <c r="B58" s="20">
        <v>0.83333333333333104</v>
      </c>
      <c r="C58" s="21">
        <f t="shared" si="10"/>
        <v>677</v>
      </c>
      <c r="D58" s="21">
        <f>MAX('019-000591-1'!E37:M37)</f>
        <v>63</v>
      </c>
      <c r="E58" s="21">
        <f t="shared" si="11"/>
        <v>614</v>
      </c>
      <c r="F58" s="21">
        <f>MAX('019-000592-1'!E37:M37)</f>
        <v>47</v>
      </c>
      <c r="G58" s="21">
        <f>MAX('019-000177-1'!E36:M36)</f>
        <v>661</v>
      </c>
      <c r="H58" s="21">
        <f>MAX('019-009882-1'!E36:M36)</f>
        <v>111</v>
      </c>
      <c r="I58" s="21">
        <f t="shared" si="12"/>
        <v>550</v>
      </c>
      <c r="J58" s="21">
        <f>MAX('019-009732-4'!E36:M36)</f>
        <v>497</v>
      </c>
      <c r="K58" s="21">
        <f t="shared" si="13"/>
        <v>1047</v>
      </c>
      <c r="L58" s="21">
        <f>MAX('019-009790-2'!E36:M36)</f>
        <v>91</v>
      </c>
      <c r="M58" s="21">
        <f t="shared" si="14"/>
        <v>956</v>
      </c>
      <c r="N58" s="21">
        <f>MAX('019-010398-2'!E36:M36)</f>
        <v>419</v>
      </c>
      <c r="O58" s="21">
        <f t="shared" si="15"/>
        <v>1375</v>
      </c>
      <c r="P58" s="111">
        <v>48</v>
      </c>
      <c r="Q58" s="37">
        <f t="shared" si="16"/>
        <v>1327</v>
      </c>
    </row>
    <row r="59" spans="1:17" x14ac:dyDescent="0.25">
      <c r="A59" s="38">
        <f t="shared" si="9"/>
        <v>5207</v>
      </c>
      <c r="B59" s="20">
        <v>0.874999999999997</v>
      </c>
      <c r="C59" s="21">
        <f t="shared" si="10"/>
        <v>477</v>
      </c>
      <c r="D59" s="21">
        <f>MAX('019-000591-1'!E38:M38)</f>
        <v>34</v>
      </c>
      <c r="E59" s="21">
        <f t="shared" si="11"/>
        <v>443</v>
      </c>
      <c r="F59" s="21">
        <f>MAX('019-000592-1'!E38:M38)</f>
        <v>23</v>
      </c>
      <c r="G59" s="21">
        <f>MAX('019-000177-1'!E37:M37)</f>
        <v>466</v>
      </c>
      <c r="H59" s="21">
        <f>MAX('019-009882-1'!E37:M37)</f>
        <v>75</v>
      </c>
      <c r="I59" s="21">
        <f t="shared" si="12"/>
        <v>391</v>
      </c>
      <c r="J59" s="21">
        <f>MAX('019-009732-4'!E37:M37)</f>
        <v>406</v>
      </c>
      <c r="K59" s="21">
        <f t="shared" si="13"/>
        <v>797</v>
      </c>
      <c r="L59" s="21">
        <f>MAX('019-009790-2'!E37:M37)</f>
        <v>55</v>
      </c>
      <c r="M59" s="21">
        <f t="shared" si="14"/>
        <v>742</v>
      </c>
      <c r="N59" s="21">
        <f>MAX('019-010398-2'!E37:M37)</f>
        <v>278</v>
      </c>
      <c r="O59" s="21">
        <f t="shared" si="15"/>
        <v>1020</v>
      </c>
      <c r="P59" s="111">
        <v>39</v>
      </c>
      <c r="Q59" s="37">
        <f t="shared" si="16"/>
        <v>981</v>
      </c>
    </row>
    <row r="60" spans="1:17" x14ac:dyDescent="0.25">
      <c r="A60" s="38">
        <f t="shared" si="9"/>
        <v>3633</v>
      </c>
      <c r="B60" s="20">
        <v>0.91666666666666297</v>
      </c>
      <c r="C60" s="21">
        <f t="shared" si="10"/>
        <v>345</v>
      </c>
      <c r="D60" s="21">
        <f>MAX('019-000591-1'!E39:M39)</f>
        <v>24</v>
      </c>
      <c r="E60" s="21">
        <f t="shared" si="11"/>
        <v>321</v>
      </c>
      <c r="F60" s="21">
        <f>MAX('019-000592-1'!E39:M39)</f>
        <v>17</v>
      </c>
      <c r="G60" s="21">
        <f>MAX('019-000177-1'!E38:M38)</f>
        <v>338</v>
      </c>
      <c r="H60" s="21">
        <f>MAX('019-009882-1'!E38:M38)</f>
        <v>40</v>
      </c>
      <c r="I60" s="21">
        <f t="shared" si="12"/>
        <v>298</v>
      </c>
      <c r="J60" s="21">
        <f>MAX('019-009732-4'!E38:M38)</f>
        <v>249</v>
      </c>
      <c r="K60" s="21">
        <f t="shared" si="13"/>
        <v>547</v>
      </c>
      <c r="L60" s="21">
        <f>MAX('019-009790-2'!E38:M38)</f>
        <v>36</v>
      </c>
      <c r="M60" s="21">
        <f t="shared" si="14"/>
        <v>511</v>
      </c>
      <c r="N60" s="21">
        <f>MAX('019-010398-2'!E38:M38)</f>
        <v>198</v>
      </c>
      <c r="O60" s="21">
        <f t="shared" si="15"/>
        <v>709</v>
      </c>
      <c r="P60" s="111">
        <v>30</v>
      </c>
      <c r="Q60" s="37">
        <f t="shared" si="16"/>
        <v>679</v>
      </c>
    </row>
    <row r="61" spans="1:17" x14ac:dyDescent="0.25">
      <c r="A61" s="38">
        <f t="shared" si="9"/>
        <v>2454</v>
      </c>
      <c r="B61" s="20">
        <v>0.95833333333333004</v>
      </c>
      <c r="C61" s="21">
        <f t="shared" si="10"/>
        <v>269</v>
      </c>
      <c r="D61" s="21">
        <f>MAX('019-000591-1'!E40:M40)</f>
        <v>15</v>
      </c>
      <c r="E61" s="21">
        <f t="shared" si="11"/>
        <v>254</v>
      </c>
      <c r="F61" s="21">
        <f>MAX('019-000592-1'!E40:M40)</f>
        <v>10</v>
      </c>
      <c r="G61" s="21">
        <f>MAX('019-000177-1'!E39:M39)</f>
        <v>264</v>
      </c>
      <c r="H61" s="21">
        <f>MAX('019-009882-1'!E39:M39)</f>
        <v>41</v>
      </c>
      <c r="I61" s="21">
        <f t="shared" si="12"/>
        <v>223</v>
      </c>
      <c r="J61" s="21">
        <f>MAX('019-009732-4'!E39:M39)</f>
        <v>143</v>
      </c>
      <c r="K61" s="21">
        <f t="shared" si="13"/>
        <v>366</v>
      </c>
      <c r="L61" s="21">
        <f>MAX('019-009790-2'!E39:M39)</f>
        <v>21</v>
      </c>
      <c r="M61" s="21">
        <f t="shared" si="14"/>
        <v>345</v>
      </c>
      <c r="N61" s="21">
        <f>MAX('019-010398-2'!E39:M39)</f>
        <v>79</v>
      </c>
      <c r="O61" s="21">
        <f t="shared" si="15"/>
        <v>424</v>
      </c>
      <c r="P61" s="111">
        <v>23</v>
      </c>
      <c r="Q61" s="37">
        <f t="shared" si="16"/>
        <v>401</v>
      </c>
    </row>
    <row r="62" spans="1:17" x14ac:dyDescent="0.25">
      <c r="A62" s="38"/>
      <c r="B62" s="83"/>
      <c r="C62" s="22" t="s">
        <v>256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100"/>
      <c r="Q62" s="37"/>
    </row>
    <row r="63" spans="1:17" s="81" customFormat="1" x14ac:dyDescent="0.25">
      <c r="B63" s="95"/>
      <c r="C63" s="80" t="s">
        <v>253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181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154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182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159</v>
      </c>
      <c r="C14" s="169"/>
      <c r="D14" s="170"/>
      <c r="E14" s="168" t="s">
        <v>160</v>
      </c>
      <c r="F14" s="169"/>
      <c r="G14" s="170"/>
      <c r="H14" s="168" t="s">
        <v>161</v>
      </c>
      <c r="I14" s="169"/>
      <c r="J14" s="170"/>
      <c r="K14" s="168" t="s">
        <v>162</v>
      </c>
      <c r="L14" s="169"/>
      <c r="M14" s="170"/>
      <c r="N14" s="168" t="s">
        <v>163</v>
      </c>
      <c r="O14" s="169"/>
      <c r="P14" s="170"/>
      <c r="Q14" s="168" t="s">
        <v>164</v>
      </c>
      <c r="R14" s="169"/>
      <c r="S14" s="170"/>
      <c r="T14" s="168" t="s">
        <v>165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220</v>
      </c>
      <c r="I16" s="30">
        <v>220</v>
      </c>
      <c r="J16" s="29"/>
      <c r="K16" s="30">
        <v>213</v>
      </c>
      <c r="L16" s="30">
        <v>213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163</v>
      </c>
      <c r="I17" s="30">
        <v>163</v>
      </c>
      <c r="J17" s="29"/>
      <c r="K17" s="30">
        <v>182</v>
      </c>
      <c r="L17" s="30">
        <v>182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122</v>
      </c>
      <c r="I18" s="30">
        <v>122</v>
      </c>
      <c r="J18" s="29"/>
      <c r="K18" s="30">
        <v>169</v>
      </c>
      <c r="L18" s="30">
        <v>169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175</v>
      </c>
      <c r="I19" s="30">
        <v>175</v>
      </c>
      <c r="J19" s="29"/>
      <c r="K19" s="30">
        <v>169</v>
      </c>
      <c r="L19" s="30">
        <v>169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232</v>
      </c>
      <c r="I20" s="30">
        <v>232</v>
      </c>
      <c r="J20" s="29"/>
      <c r="K20" s="30">
        <v>227</v>
      </c>
      <c r="L20" s="30">
        <v>227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396</v>
      </c>
      <c r="I21" s="30">
        <v>396</v>
      </c>
      <c r="J21" s="29"/>
      <c r="K21" s="30">
        <v>330</v>
      </c>
      <c r="L21" s="30">
        <v>330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824</v>
      </c>
      <c r="I22" s="30">
        <v>824</v>
      </c>
      <c r="J22" s="29"/>
      <c r="K22" s="30">
        <v>603</v>
      </c>
      <c r="L22" s="30">
        <v>603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945</v>
      </c>
      <c r="I23" s="30">
        <v>945</v>
      </c>
      <c r="J23" s="29"/>
      <c r="K23" s="30">
        <v>943</v>
      </c>
      <c r="L23" s="30">
        <v>943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887</v>
      </c>
      <c r="I24" s="30">
        <v>887</v>
      </c>
      <c r="J24" s="29"/>
      <c r="K24" s="30">
        <v>929</v>
      </c>
      <c r="L24" s="30">
        <v>929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1">
        <v>1053</v>
      </c>
      <c r="I25" s="31">
        <v>1053</v>
      </c>
      <c r="J25" s="29"/>
      <c r="K25" s="31">
        <v>1020</v>
      </c>
      <c r="L25" s="31">
        <v>1020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1">
        <v>1106</v>
      </c>
      <c r="I26" s="31">
        <v>1106</v>
      </c>
      <c r="J26" s="29"/>
      <c r="K26" s="31">
        <v>1001</v>
      </c>
      <c r="L26" s="31">
        <v>1001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29"/>
      <c r="F27" s="29"/>
      <c r="G27" s="29"/>
      <c r="H27" s="31">
        <v>1125</v>
      </c>
      <c r="I27" s="31">
        <v>1125</v>
      </c>
      <c r="J27" s="29"/>
      <c r="K27" s="31">
        <v>1082</v>
      </c>
      <c r="L27" s="31">
        <v>1082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29"/>
      <c r="F28" s="29"/>
      <c r="G28" s="29"/>
      <c r="H28" s="31">
        <v>1131</v>
      </c>
      <c r="I28" s="31">
        <v>1131</v>
      </c>
      <c r="J28" s="29"/>
      <c r="K28" s="31">
        <v>1182</v>
      </c>
      <c r="L28" s="31">
        <v>1182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29"/>
      <c r="F29" s="29"/>
      <c r="G29" s="29"/>
      <c r="H29" s="31">
        <v>1286</v>
      </c>
      <c r="I29" s="31">
        <v>1286</v>
      </c>
      <c r="J29" s="29"/>
      <c r="K29" s="31">
        <v>1302</v>
      </c>
      <c r="L29" s="31">
        <v>1302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29"/>
      <c r="F30" s="29"/>
      <c r="G30" s="29"/>
      <c r="H30" s="31">
        <v>1482</v>
      </c>
      <c r="I30" s="31">
        <v>1482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1">
        <v>1982</v>
      </c>
      <c r="F31" s="31">
        <v>1982</v>
      </c>
      <c r="G31" s="29"/>
      <c r="H31" s="31">
        <v>2089</v>
      </c>
      <c r="I31" s="31">
        <v>2089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1">
        <v>2250</v>
      </c>
      <c r="F32" s="31">
        <v>2250</v>
      </c>
      <c r="G32" s="29"/>
      <c r="H32" s="31">
        <v>2264</v>
      </c>
      <c r="I32" s="31">
        <v>2264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1">
        <v>1793</v>
      </c>
      <c r="F33" s="31">
        <v>1793</v>
      </c>
      <c r="G33" s="29"/>
      <c r="H33" s="31">
        <v>2019</v>
      </c>
      <c r="I33" s="31">
        <v>2019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1">
        <v>1543</v>
      </c>
      <c r="F34" s="31">
        <v>1543</v>
      </c>
      <c r="G34" s="29"/>
      <c r="H34" s="31">
        <v>1566</v>
      </c>
      <c r="I34" s="31">
        <v>1566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978</v>
      </c>
      <c r="F35" s="30">
        <v>978</v>
      </c>
      <c r="G35" s="29"/>
      <c r="H35" s="31">
        <v>1033</v>
      </c>
      <c r="I35" s="31">
        <v>1033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806</v>
      </c>
      <c r="F36" s="30">
        <v>806</v>
      </c>
      <c r="G36" s="29"/>
      <c r="H36" s="30">
        <v>705</v>
      </c>
      <c r="I36" s="30">
        <v>705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583</v>
      </c>
      <c r="F37" s="30">
        <v>583</v>
      </c>
      <c r="G37" s="29"/>
      <c r="H37" s="30">
        <v>575</v>
      </c>
      <c r="I37" s="30">
        <v>575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440</v>
      </c>
      <c r="F38" s="30">
        <v>440</v>
      </c>
      <c r="G38" s="29"/>
      <c r="H38" s="30">
        <v>415</v>
      </c>
      <c r="I38" s="30">
        <v>415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330</v>
      </c>
      <c r="F39" s="30">
        <v>330</v>
      </c>
      <c r="G39" s="29"/>
      <c r="H39" s="30">
        <v>312</v>
      </c>
      <c r="I39" s="30">
        <v>312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10705</v>
      </c>
      <c r="F40" s="31">
        <v>10705</v>
      </c>
      <c r="G40" s="29"/>
      <c r="H40" s="31">
        <v>22125</v>
      </c>
      <c r="I40" s="31">
        <v>22125</v>
      </c>
      <c r="J40" s="29"/>
      <c r="K40" s="31">
        <v>9352</v>
      </c>
      <c r="L40" s="31">
        <v>9352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1">
        <v>1125</v>
      </c>
      <c r="I41" s="31">
        <v>1125</v>
      </c>
      <c r="J41" s="29"/>
      <c r="K41" s="31">
        <v>1096</v>
      </c>
      <c r="L41" s="31">
        <v>1096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0.96</v>
      </c>
      <c r="I42" s="33">
        <v>0.96</v>
      </c>
      <c r="J42" s="29"/>
      <c r="K42" s="33">
        <v>0.96</v>
      </c>
      <c r="L42" s="33">
        <v>0.96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93</v>
      </c>
      <c r="I43" s="34" t="s">
        <v>93</v>
      </c>
      <c r="J43" s="29"/>
      <c r="K43" s="34" t="s">
        <v>143</v>
      </c>
      <c r="L43" s="34" t="s">
        <v>143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29"/>
      <c r="F44" s="29"/>
      <c r="G44" s="29"/>
      <c r="H44" s="31">
        <v>2315</v>
      </c>
      <c r="I44" s="31">
        <v>2315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29"/>
      <c r="F45" s="29"/>
      <c r="G45" s="29"/>
      <c r="H45" s="33">
        <v>0.93</v>
      </c>
      <c r="I45" s="33">
        <v>0.93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29"/>
      <c r="F46" s="29"/>
      <c r="G46" s="29"/>
      <c r="H46" s="34" t="s">
        <v>183</v>
      </c>
      <c r="I46" s="34" t="s">
        <v>183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35">
        <v>0.97599999999999998</v>
      </c>
      <c r="G47" s="29"/>
      <c r="H47" s="35">
        <v>0.97599999999999998</v>
      </c>
      <c r="I47" s="35">
        <v>0.97599999999999998</v>
      </c>
      <c r="J47" s="29"/>
      <c r="K47" s="35">
        <v>0.97599999999999998</v>
      </c>
      <c r="L47" s="35">
        <v>0.97599999999999998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35">
        <v>0.96599999999999997</v>
      </c>
      <c r="G48" s="29"/>
      <c r="H48" s="35">
        <v>0.93200000000000005</v>
      </c>
      <c r="I48" s="35">
        <v>0.93200000000000005</v>
      </c>
      <c r="J48" s="29"/>
      <c r="K48" s="35">
        <v>0.93300000000000005</v>
      </c>
      <c r="L48" s="35">
        <v>0.93300000000000005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35">
        <v>0.5</v>
      </c>
      <c r="G49" s="29"/>
      <c r="H49" s="35">
        <v>0.5</v>
      </c>
      <c r="I49" s="35">
        <v>0.5</v>
      </c>
      <c r="J49" s="29"/>
      <c r="K49" s="35">
        <v>0.5</v>
      </c>
      <c r="L49" s="35">
        <v>0.5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35">
        <v>2</v>
      </c>
      <c r="G50" s="29"/>
      <c r="H50" s="35">
        <v>2</v>
      </c>
      <c r="I50" s="35">
        <v>2</v>
      </c>
      <c r="J50" s="29"/>
      <c r="K50" s="35">
        <v>2</v>
      </c>
      <c r="L50" s="35">
        <v>2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184</v>
      </c>
    </row>
    <row r="53" spans="1:22" ht="11.45" customHeight="1" x14ac:dyDescent="0.25">
      <c r="A53" s="24" t="s">
        <v>185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7"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186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154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182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159</v>
      </c>
      <c r="C14" s="169"/>
      <c r="D14" s="170"/>
      <c r="E14" s="168" t="s">
        <v>160</v>
      </c>
      <c r="F14" s="169"/>
      <c r="G14" s="170"/>
      <c r="H14" s="168" t="s">
        <v>161</v>
      </c>
      <c r="I14" s="169"/>
      <c r="J14" s="170"/>
      <c r="K14" s="168" t="s">
        <v>162</v>
      </c>
      <c r="L14" s="169"/>
      <c r="M14" s="170"/>
      <c r="N14" s="168" t="s">
        <v>163</v>
      </c>
      <c r="O14" s="169"/>
      <c r="P14" s="170"/>
      <c r="Q14" s="168" t="s">
        <v>164</v>
      </c>
      <c r="R14" s="169"/>
      <c r="S14" s="170"/>
      <c r="T14" s="168" t="s">
        <v>165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163</v>
      </c>
      <c r="I16" s="29"/>
      <c r="J16" s="30">
        <v>163</v>
      </c>
      <c r="K16" s="30">
        <v>158</v>
      </c>
      <c r="L16" s="29"/>
      <c r="M16" s="30">
        <v>158</v>
      </c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98</v>
      </c>
      <c r="I17" s="29"/>
      <c r="J17" s="30">
        <v>98</v>
      </c>
      <c r="K17" s="30">
        <v>93</v>
      </c>
      <c r="L17" s="29"/>
      <c r="M17" s="30">
        <v>93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124</v>
      </c>
      <c r="I18" s="29"/>
      <c r="J18" s="30">
        <v>124</v>
      </c>
      <c r="K18" s="30">
        <v>119</v>
      </c>
      <c r="L18" s="29"/>
      <c r="M18" s="30">
        <v>119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158</v>
      </c>
      <c r="I19" s="29"/>
      <c r="J19" s="30">
        <v>158</v>
      </c>
      <c r="K19" s="30">
        <v>161</v>
      </c>
      <c r="L19" s="29"/>
      <c r="M19" s="30">
        <v>161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382</v>
      </c>
      <c r="I20" s="29"/>
      <c r="J20" s="30">
        <v>382</v>
      </c>
      <c r="K20" s="30">
        <v>391</v>
      </c>
      <c r="L20" s="29"/>
      <c r="M20" s="30">
        <v>391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1">
        <v>1236</v>
      </c>
      <c r="I21" s="29"/>
      <c r="J21" s="31">
        <v>1236</v>
      </c>
      <c r="K21" s="31">
        <v>1163</v>
      </c>
      <c r="L21" s="29"/>
      <c r="M21" s="31">
        <v>1163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1">
        <v>2315</v>
      </c>
      <c r="I22" s="29"/>
      <c r="J22" s="31">
        <v>2315</v>
      </c>
      <c r="K22" s="31">
        <v>2262</v>
      </c>
      <c r="L22" s="29"/>
      <c r="M22" s="31">
        <v>2262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1">
        <v>2110</v>
      </c>
      <c r="I23" s="29"/>
      <c r="J23" s="31">
        <v>2110</v>
      </c>
      <c r="K23" s="31">
        <v>2030</v>
      </c>
      <c r="L23" s="29"/>
      <c r="M23" s="31">
        <v>2030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1">
        <v>1663</v>
      </c>
      <c r="I24" s="29"/>
      <c r="J24" s="31">
        <v>1663</v>
      </c>
      <c r="K24" s="31">
        <v>1651</v>
      </c>
      <c r="L24" s="29"/>
      <c r="M24" s="31">
        <v>1651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1">
        <v>1312</v>
      </c>
      <c r="I25" s="29"/>
      <c r="J25" s="31">
        <v>1312</v>
      </c>
      <c r="K25" s="31">
        <v>1230</v>
      </c>
      <c r="L25" s="29"/>
      <c r="M25" s="31">
        <v>1230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1">
        <v>1195</v>
      </c>
      <c r="I26" s="29"/>
      <c r="J26" s="31">
        <v>1195</v>
      </c>
      <c r="K26" s="31">
        <v>1205</v>
      </c>
      <c r="L26" s="29"/>
      <c r="M26" s="31">
        <v>1205</v>
      </c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29"/>
      <c r="F27" s="29"/>
      <c r="G27" s="29"/>
      <c r="H27" s="31">
        <v>1137</v>
      </c>
      <c r="I27" s="29"/>
      <c r="J27" s="31">
        <v>1137</v>
      </c>
      <c r="K27" s="31">
        <v>1196</v>
      </c>
      <c r="L27" s="29"/>
      <c r="M27" s="31">
        <v>1196</v>
      </c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29"/>
      <c r="F28" s="29"/>
      <c r="G28" s="29"/>
      <c r="H28" s="31">
        <v>1164</v>
      </c>
      <c r="I28" s="29"/>
      <c r="J28" s="31">
        <v>1164</v>
      </c>
      <c r="K28" s="31">
        <v>1206</v>
      </c>
      <c r="L28" s="29"/>
      <c r="M28" s="31">
        <v>1206</v>
      </c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29"/>
      <c r="F29" s="29"/>
      <c r="G29" s="29"/>
      <c r="H29" s="31">
        <v>1167</v>
      </c>
      <c r="I29" s="29"/>
      <c r="J29" s="31">
        <v>1167</v>
      </c>
      <c r="K29" s="31">
        <v>1153</v>
      </c>
      <c r="L29" s="29"/>
      <c r="M29" s="31">
        <v>1153</v>
      </c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1">
        <v>1284</v>
      </c>
      <c r="F30" s="29"/>
      <c r="G30" s="31">
        <v>1284</v>
      </c>
      <c r="H30" s="31">
        <v>1250</v>
      </c>
      <c r="I30" s="29"/>
      <c r="J30" s="31">
        <v>1250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1">
        <v>1333</v>
      </c>
      <c r="F31" s="29"/>
      <c r="G31" s="31">
        <v>1333</v>
      </c>
      <c r="H31" s="31">
        <v>1315</v>
      </c>
      <c r="I31" s="29"/>
      <c r="J31" s="31">
        <v>1315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1">
        <v>1282</v>
      </c>
      <c r="F32" s="29"/>
      <c r="G32" s="31">
        <v>1282</v>
      </c>
      <c r="H32" s="31">
        <v>1361</v>
      </c>
      <c r="I32" s="29"/>
      <c r="J32" s="31">
        <v>1361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1">
        <v>1335</v>
      </c>
      <c r="F33" s="29"/>
      <c r="G33" s="31">
        <v>1335</v>
      </c>
      <c r="H33" s="31">
        <v>1330</v>
      </c>
      <c r="I33" s="29"/>
      <c r="J33" s="31">
        <v>1330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954</v>
      </c>
      <c r="F34" s="29"/>
      <c r="G34" s="30">
        <v>954</v>
      </c>
      <c r="H34" s="30">
        <v>985</v>
      </c>
      <c r="I34" s="29"/>
      <c r="J34" s="30">
        <v>985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745</v>
      </c>
      <c r="F35" s="29"/>
      <c r="G35" s="30">
        <v>745</v>
      </c>
      <c r="H35" s="30">
        <v>665</v>
      </c>
      <c r="I35" s="29"/>
      <c r="J35" s="30">
        <v>665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661</v>
      </c>
      <c r="F36" s="29"/>
      <c r="G36" s="30">
        <v>661</v>
      </c>
      <c r="H36" s="30">
        <v>568</v>
      </c>
      <c r="I36" s="29"/>
      <c r="J36" s="30">
        <v>568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466</v>
      </c>
      <c r="F37" s="29"/>
      <c r="G37" s="30">
        <v>466</v>
      </c>
      <c r="H37" s="30">
        <v>459</v>
      </c>
      <c r="I37" s="29"/>
      <c r="J37" s="30">
        <v>459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338</v>
      </c>
      <c r="F38" s="29"/>
      <c r="G38" s="30">
        <v>338</v>
      </c>
      <c r="H38" s="30">
        <v>318</v>
      </c>
      <c r="I38" s="29"/>
      <c r="J38" s="30">
        <v>318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261</v>
      </c>
      <c r="F39" s="29"/>
      <c r="G39" s="30">
        <v>261</v>
      </c>
      <c r="H39" s="30">
        <v>264</v>
      </c>
      <c r="I39" s="29"/>
      <c r="J39" s="30">
        <v>264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8659</v>
      </c>
      <c r="F40" s="29"/>
      <c r="G40" s="31">
        <v>8659</v>
      </c>
      <c r="H40" s="31">
        <v>22739</v>
      </c>
      <c r="I40" s="29"/>
      <c r="J40" s="31">
        <v>22739</v>
      </c>
      <c r="K40" s="31">
        <v>14018</v>
      </c>
      <c r="L40" s="29"/>
      <c r="M40" s="31">
        <v>14018</v>
      </c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1">
        <v>2320</v>
      </c>
      <c r="I41" s="29"/>
      <c r="J41" s="31">
        <v>2320</v>
      </c>
      <c r="K41" s="31">
        <v>2309</v>
      </c>
      <c r="L41" s="29"/>
      <c r="M41" s="31">
        <v>2309</v>
      </c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0.86</v>
      </c>
      <c r="I42" s="29"/>
      <c r="J42" s="33">
        <v>0.86</v>
      </c>
      <c r="K42" s="33">
        <v>0.9</v>
      </c>
      <c r="L42" s="29"/>
      <c r="M42" s="33">
        <v>0.9</v>
      </c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150</v>
      </c>
      <c r="I43" s="29"/>
      <c r="J43" s="34" t="s">
        <v>150</v>
      </c>
      <c r="K43" s="34" t="s">
        <v>150</v>
      </c>
      <c r="L43" s="29"/>
      <c r="M43" s="34" t="s">
        <v>150</v>
      </c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29"/>
      <c r="F44" s="29"/>
      <c r="G44" s="29"/>
      <c r="H44" s="31">
        <v>1387</v>
      </c>
      <c r="I44" s="29"/>
      <c r="J44" s="31">
        <v>1387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29"/>
      <c r="F45" s="29"/>
      <c r="G45" s="29"/>
      <c r="H45" s="33">
        <v>0.92</v>
      </c>
      <c r="I45" s="29"/>
      <c r="J45" s="33">
        <v>0.92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29"/>
      <c r="F46" s="29"/>
      <c r="G46" s="29"/>
      <c r="H46" s="34" t="s">
        <v>124</v>
      </c>
      <c r="I46" s="29"/>
      <c r="J46" s="34" t="s">
        <v>124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29"/>
      <c r="G47" s="35">
        <v>0.97599999999999998</v>
      </c>
      <c r="H47" s="35">
        <v>0.97599999999999998</v>
      </c>
      <c r="I47" s="29"/>
      <c r="J47" s="35">
        <v>0.97599999999999998</v>
      </c>
      <c r="K47" s="35">
        <v>0.97599999999999998</v>
      </c>
      <c r="L47" s="29"/>
      <c r="M47" s="35">
        <v>0.97599999999999998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29"/>
      <c r="G48" s="35">
        <v>0.96599999999999997</v>
      </c>
      <c r="H48" s="35">
        <v>0.93200000000000005</v>
      </c>
      <c r="I48" s="29"/>
      <c r="J48" s="35">
        <v>0.93200000000000005</v>
      </c>
      <c r="K48" s="35">
        <v>0.93300000000000005</v>
      </c>
      <c r="L48" s="29"/>
      <c r="M48" s="35">
        <v>0.93300000000000005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0.5</v>
      </c>
      <c r="F49" s="29"/>
      <c r="G49" s="35">
        <v>0.5</v>
      </c>
      <c r="H49" s="35">
        <v>0.5</v>
      </c>
      <c r="I49" s="29"/>
      <c r="J49" s="35">
        <v>0.5</v>
      </c>
      <c r="K49" s="35">
        <v>0.5</v>
      </c>
      <c r="L49" s="29"/>
      <c r="M49" s="35">
        <v>0.5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29"/>
      <c r="G50" s="35">
        <v>2</v>
      </c>
      <c r="H50" s="35">
        <v>2</v>
      </c>
      <c r="I50" s="29"/>
      <c r="J50" s="35">
        <v>2</v>
      </c>
      <c r="K50" s="35">
        <v>2</v>
      </c>
      <c r="L50" s="29"/>
      <c r="M50" s="35">
        <v>2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187</v>
      </c>
    </row>
    <row r="53" spans="1:22" ht="11.45" customHeight="1" x14ac:dyDescent="0.25">
      <c r="A53" s="24" t="s">
        <v>188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204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205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136</v>
      </c>
      <c r="D15" s="27" t="s">
        <v>137</v>
      </c>
      <c r="E15" s="26" t="s">
        <v>62</v>
      </c>
      <c r="F15" s="27" t="s">
        <v>136</v>
      </c>
      <c r="G15" s="27" t="s">
        <v>137</v>
      </c>
      <c r="H15" s="26" t="s">
        <v>62</v>
      </c>
      <c r="I15" s="27" t="s">
        <v>136</v>
      </c>
      <c r="J15" s="27" t="s">
        <v>137</v>
      </c>
      <c r="K15" s="28" t="s">
        <v>62</v>
      </c>
      <c r="L15" s="27" t="s">
        <v>136</v>
      </c>
      <c r="M15" s="27" t="s">
        <v>137</v>
      </c>
      <c r="N15" s="26" t="s">
        <v>62</v>
      </c>
      <c r="O15" s="27" t="s">
        <v>136</v>
      </c>
      <c r="P15" s="27" t="s">
        <v>137</v>
      </c>
      <c r="Q15" s="26" t="s">
        <v>62</v>
      </c>
      <c r="R15" s="27" t="s">
        <v>136</v>
      </c>
      <c r="S15" s="27" t="s">
        <v>137</v>
      </c>
      <c r="T15" s="26" t="s">
        <v>62</v>
      </c>
      <c r="U15" s="27" t="s">
        <v>136</v>
      </c>
      <c r="V15" s="27" t="s">
        <v>137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54</v>
      </c>
      <c r="I16" s="29"/>
      <c r="J16" s="30">
        <v>54</v>
      </c>
      <c r="K16" s="30">
        <v>53</v>
      </c>
      <c r="L16" s="29"/>
      <c r="M16" s="30">
        <v>53</v>
      </c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33</v>
      </c>
      <c r="I17" s="29"/>
      <c r="J17" s="30">
        <v>33</v>
      </c>
      <c r="K17" s="30">
        <v>46</v>
      </c>
      <c r="L17" s="29"/>
      <c r="M17" s="30">
        <v>46</v>
      </c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41</v>
      </c>
      <c r="I18" s="29"/>
      <c r="J18" s="30">
        <v>41</v>
      </c>
      <c r="K18" s="30">
        <v>34</v>
      </c>
      <c r="L18" s="29"/>
      <c r="M18" s="30">
        <v>34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47</v>
      </c>
      <c r="I19" s="29"/>
      <c r="J19" s="30">
        <v>47</v>
      </c>
      <c r="K19" s="30">
        <v>61</v>
      </c>
      <c r="L19" s="29"/>
      <c r="M19" s="30">
        <v>61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152</v>
      </c>
      <c r="I20" s="29"/>
      <c r="J20" s="30">
        <v>152</v>
      </c>
      <c r="K20" s="30">
        <v>146</v>
      </c>
      <c r="L20" s="29"/>
      <c r="M20" s="30">
        <v>146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455</v>
      </c>
      <c r="I21" s="29"/>
      <c r="J21" s="30">
        <v>455</v>
      </c>
      <c r="K21" s="30">
        <v>440</v>
      </c>
      <c r="L21" s="29"/>
      <c r="M21" s="30">
        <v>440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945</v>
      </c>
      <c r="I22" s="29"/>
      <c r="J22" s="30">
        <v>945</v>
      </c>
      <c r="K22" s="30">
        <v>986</v>
      </c>
      <c r="L22" s="29"/>
      <c r="M22" s="30">
        <v>986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971</v>
      </c>
      <c r="I23" s="29"/>
      <c r="J23" s="30">
        <v>971</v>
      </c>
      <c r="K23" s="30">
        <v>986</v>
      </c>
      <c r="L23" s="29"/>
      <c r="M23" s="30">
        <v>986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860</v>
      </c>
      <c r="I24" s="29"/>
      <c r="J24" s="30">
        <v>860</v>
      </c>
      <c r="K24" s="30">
        <v>869</v>
      </c>
      <c r="L24" s="29"/>
      <c r="M24" s="30">
        <v>869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579</v>
      </c>
      <c r="I25" s="29"/>
      <c r="J25" s="30">
        <v>579</v>
      </c>
      <c r="K25" s="30">
        <v>647</v>
      </c>
      <c r="L25" s="29"/>
      <c r="M25" s="30">
        <v>647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29"/>
      <c r="F26" s="29"/>
      <c r="G26" s="29"/>
      <c r="H26" s="30">
        <v>609</v>
      </c>
      <c r="I26" s="29"/>
      <c r="J26" s="30">
        <v>609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608</v>
      </c>
      <c r="F27" s="29"/>
      <c r="G27" s="30">
        <v>608</v>
      </c>
      <c r="H27" s="30">
        <v>562</v>
      </c>
      <c r="I27" s="29"/>
      <c r="J27" s="30">
        <v>562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674</v>
      </c>
      <c r="F28" s="29"/>
      <c r="G28" s="30">
        <v>674</v>
      </c>
      <c r="H28" s="30">
        <v>611</v>
      </c>
      <c r="I28" s="29"/>
      <c r="J28" s="30">
        <v>611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694</v>
      </c>
      <c r="F29" s="29"/>
      <c r="G29" s="30">
        <v>694</v>
      </c>
      <c r="H29" s="30">
        <v>620</v>
      </c>
      <c r="I29" s="29"/>
      <c r="J29" s="30">
        <v>620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624</v>
      </c>
      <c r="F30" s="29"/>
      <c r="G30" s="30">
        <v>624</v>
      </c>
      <c r="H30" s="30">
        <v>648</v>
      </c>
      <c r="I30" s="29"/>
      <c r="J30" s="30">
        <v>648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680</v>
      </c>
      <c r="F31" s="29"/>
      <c r="G31" s="30">
        <v>680</v>
      </c>
      <c r="H31" s="30">
        <v>795</v>
      </c>
      <c r="I31" s="29"/>
      <c r="J31" s="30">
        <v>795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665</v>
      </c>
      <c r="F32" s="29"/>
      <c r="G32" s="30">
        <v>665</v>
      </c>
      <c r="H32" s="30">
        <v>770</v>
      </c>
      <c r="I32" s="29"/>
      <c r="J32" s="30">
        <v>770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731</v>
      </c>
      <c r="F33" s="29"/>
      <c r="G33" s="30">
        <v>731</v>
      </c>
      <c r="H33" s="30">
        <v>706</v>
      </c>
      <c r="I33" s="29"/>
      <c r="J33" s="30">
        <v>706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546</v>
      </c>
      <c r="F34" s="29"/>
      <c r="G34" s="30">
        <v>546</v>
      </c>
      <c r="H34" s="30">
        <v>635</v>
      </c>
      <c r="I34" s="29"/>
      <c r="J34" s="30">
        <v>635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451</v>
      </c>
      <c r="F35" s="29"/>
      <c r="G35" s="30">
        <v>451</v>
      </c>
      <c r="H35" s="30">
        <v>511</v>
      </c>
      <c r="I35" s="29"/>
      <c r="J35" s="30">
        <v>511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414</v>
      </c>
      <c r="F36" s="29"/>
      <c r="G36" s="30">
        <v>414</v>
      </c>
      <c r="H36" s="30">
        <v>419</v>
      </c>
      <c r="I36" s="29"/>
      <c r="J36" s="30">
        <v>419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233</v>
      </c>
      <c r="F37" s="29"/>
      <c r="G37" s="30">
        <v>233</v>
      </c>
      <c r="H37" s="30">
        <v>278</v>
      </c>
      <c r="I37" s="29"/>
      <c r="J37" s="30">
        <v>278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175</v>
      </c>
      <c r="F38" s="29"/>
      <c r="G38" s="30">
        <v>175</v>
      </c>
      <c r="H38" s="30">
        <v>198</v>
      </c>
      <c r="I38" s="29"/>
      <c r="J38" s="30">
        <v>198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75</v>
      </c>
      <c r="F39" s="29"/>
      <c r="G39" s="30">
        <v>75</v>
      </c>
      <c r="H39" s="30">
        <v>79</v>
      </c>
      <c r="I39" s="29"/>
      <c r="J39" s="30">
        <v>79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6570</v>
      </c>
      <c r="F40" s="29"/>
      <c r="G40" s="31">
        <v>6570</v>
      </c>
      <c r="H40" s="31">
        <v>11578</v>
      </c>
      <c r="I40" s="29"/>
      <c r="J40" s="31">
        <v>11578</v>
      </c>
      <c r="K40" s="31">
        <v>4268</v>
      </c>
      <c r="L40" s="29"/>
      <c r="M40" s="31">
        <v>4268</v>
      </c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1">
        <v>1002</v>
      </c>
      <c r="I41" s="29"/>
      <c r="J41" s="31">
        <v>1002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0.94</v>
      </c>
      <c r="I42" s="29"/>
      <c r="J42" s="33">
        <v>0.94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149</v>
      </c>
      <c r="I43" s="29"/>
      <c r="J43" s="34" t="s">
        <v>149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0">
        <v>764</v>
      </c>
      <c r="F44" s="29"/>
      <c r="G44" s="30">
        <v>764</v>
      </c>
      <c r="H44" s="30">
        <v>843</v>
      </c>
      <c r="I44" s="29"/>
      <c r="J44" s="30">
        <v>843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0.91</v>
      </c>
      <c r="F45" s="29"/>
      <c r="G45" s="33">
        <v>0.91</v>
      </c>
      <c r="H45" s="33">
        <v>0.86</v>
      </c>
      <c r="I45" s="29"/>
      <c r="J45" s="33">
        <v>0.86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97</v>
      </c>
      <c r="F46" s="29"/>
      <c r="G46" s="34" t="s">
        <v>97</v>
      </c>
      <c r="H46" s="34" t="s">
        <v>206</v>
      </c>
      <c r="I46" s="29"/>
      <c r="J46" s="34" t="s">
        <v>206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29"/>
      <c r="G47" s="35">
        <v>0.97599999999999998</v>
      </c>
      <c r="H47" s="35">
        <v>0.97599999999999998</v>
      </c>
      <c r="I47" s="29"/>
      <c r="J47" s="35">
        <v>0.97599999999999998</v>
      </c>
      <c r="K47" s="35">
        <v>0.97599999999999998</v>
      </c>
      <c r="L47" s="29"/>
      <c r="M47" s="35">
        <v>0.97599999999999998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29"/>
      <c r="G48" s="35">
        <v>0.96599999999999997</v>
      </c>
      <c r="H48" s="35">
        <v>0.93200000000000005</v>
      </c>
      <c r="I48" s="29"/>
      <c r="J48" s="35">
        <v>0.93200000000000005</v>
      </c>
      <c r="K48" s="35">
        <v>0.93300000000000005</v>
      </c>
      <c r="L48" s="29"/>
      <c r="M48" s="35">
        <v>0.93300000000000005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0.47</v>
      </c>
      <c r="F49" s="29"/>
      <c r="G49" s="35">
        <v>0.47</v>
      </c>
      <c r="H49" s="35">
        <v>0.47</v>
      </c>
      <c r="I49" s="29"/>
      <c r="J49" s="35">
        <v>0.47</v>
      </c>
      <c r="K49" s="35">
        <v>0.47</v>
      </c>
      <c r="L49" s="29"/>
      <c r="M49" s="35">
        <v>0.47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29"/>
      <c r="G50" s="35">
        <v>2</v>
      </c>
      <c r="H50" s="35">
        <v>2</v>
      </c>
      <c r="I50" s="29"/>
      <c r="J50" s="35">
        <v>2</v>
      </c>
      <c r="K50" s="35">
        <v>2</v>
      </c>
      <c r="L50" s="29"/>
      <c r="M50" s="35">
        <v>2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207</v>
      </c>
    </row>
    <row r="53" spans="1:22" ht="11.45" customHeight="1" x14ac:dyDescent="0.25">
      <c r="A53" s="24" t="s">
        <v>208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5"/>
  <sheetViews>
    <sheetView zoomScale="55" zoomScaleNormal="55" workbookViewId="0">
      <selection activeCell="S62" sqref="S62"/>
    </sheetView>
  </sheetViews>
  <sheetFormatPr defaultRowHeight="15" x14ac:dyDescent="0.25"/>
  <cols>
    <col min="1" max="1" width="2" style="77" bestFit="1" customWidth="1"/>
    <col min="2" max="2" width="23.85546875" bestFit="1" customWidth="1"/>
    <col min="3" max="3" width="22.85546875" customWidth="1"/>
    <col min="4" max="4" width="36.28515625" bestFit="1" customWidth="1"/>
    <col min="5" max="5" width="28.85546875" bestFit="1" customWidth="1"/>
    <col min="6" max="6" width="45.85546875" bestFit="1" customWidth="1"/>
    <col min="7" max="7" width="36.7109375" bestFit="1" customWidth="1"/>
    <col min="8" max="8" width="33" bestFit="1" customWidth="1"/>
    <col min="9" max="9" width="40.140625" bestFit="1" customWidth="1"/>
    <col min="10" max="10" width="32.85546875" bestFit="1" customWidth="1"/>
    <col min="11" max="11" width="35.7109375" bestFit="1" customWidth="1"/>
    <col min="12" max="12" width="23.42578125" bestFit="1" customWidth="1"/>
    <col min="13" max="13" width="31.7109375" bestFit="1" customWidth="1"/>
    <col min="14" max="14" width="36.28515625" bestFit="1" customWidth="1"/>
    <col min="15" max="15" width="35.7109375" bestFit="1" customWidth="1"/>
    <col min="16" max="16" width="32.85546875" bestFit="1" customWidth="1"/>
    <col min="17" max="17" width="40.140625" bestFit="1" customWidth="1"/>
    <col min="18" max="18" width="36.28515625" bestFit="1" customWidth="1"/>
    <col min="19" max="19" width="36.7109375" bestFit="1" customWidth="1"/>
  </cols>
  <sheetData>
    <row r="1" spans="1:19" x14ac:dyDescent="0.25">
      <c r="B1" s="14">
        <v>2020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B2" t="s">
        <v>39</v>
      </c>
      <c r="C2" s="16"/>
      <c r="D2" s="17">
        <v>1</v>
      </c>
      <c r="E2" s="17">
        <v>2</v>
      </c>
      <c r="F2" s="17">
        <v>3</v>
      </c>
      <c r="G2" s="17">
        <v>4</v>
      </c>
      <c r="H2" s="17">
        <v>5</v>
      </c>
      <c r="I2" s="17">
        <v>6</v>
      </c>
      <c r="J2" s="17">
        <v>7</v>
      </c>
      <c r="K2" s="17">
        <v>8</v>
      </c>
      <c r="L2" s="17">
        <v>9</v>
      </c>
      <c r="M2" s="17">
        <v>10</v>
      </c>
      <c r="N2" s="17">
        <v>11</v>
      </c>
      <c r="O2" s="17">
        <v>12</v>
      </c>
      <c r="P2" s="17">
        <v>13</v>
      </c>
      <c r="Q2" s="17">
        <v>14</v>
      </c>
      <c r="R2" s="17">
        <v>15</v>
      </c>
      <c r="S2" s="17">
        <v>16</v>
      </c>
    </row>
    <row r="3" spans="1:19" x14ac:dyDescent="0.25">
      <c r="B3" s="75" t="s">
        <v>212</v>
      </c>
      <c r="C3" s="16" t="s">
        <v>203</v>
      </c>
      <c r="D3" s="16" t="s">
        <v>252</v>
      </c>
      <c r="E3" s="16" t="s">
        <v>251</v>
      </c>
      <c r="F3" s="16" t="s">
        <v>250</v>
      </c>
      <c r="G3" s="17" t="s">
        <v>189</v>
      </c>
      <c r="H3" s="17" t="s">
        <v>190</v>
      </c>
      <c r="I3" s="17" t="s">
        <v>191</v>
      </c>
      <c r="J3" s="17" t="s">
        <v>192</v>
      </c>
      <c r="K3" s="17" t="s">
        <v>193</v>
      </c>
      <c r="L3" s="17" t="s">
        <v>194</v>
      </c>
      <c r="M3" s="17" t="s">
        <v>195</v>
      </c>
      <c r="N3" s="17" t="s">
        <v>196</v>
      </c>
      <c r="O3" s="17" t="s">
        <v>197</v>
      </c>
      <c r="P3" s="17" t="s">
        <v>198</v>
      </c>
      <c r="Q3" s="17" t="s">
        <v>199</v>
      </c>
      <c r="R3" s="17" t="s">
        <v>200</v>
      </c>
      <c r="S3" s="17" t="s">
        <v>201</v>
      </c>
    </row>
    <row r="4" spans="1:19" x14ac:dyDescent="0.25">
      <c r="B4" s="76">
        <f>'Rate Calculations &amp; PHF'!Z14</f>
        <v>2.1499999999999998E-2</v>
      </c>
      <c r="C4" s="16" t="s">
        <v>6</v>
      </c>
      <c r="D4" s="16"/>
      <c r="E4" s="16"/>
      <c r="F4" s="16"/>
      <c r="G4" s="17"/>
      <c r="H4" s="17" t="s">
        <v>9</v>
      </c>
      <c r="I4" s="17"/>
      <c r="J4" s="17" t="s">
        <v>13</v>
      </c>
      <c r="K4" s="17"/>
      <c r="L4" s="42" t="s">
        <v>17</v>
      </c>
      <c r="N4" s="17" t="s">
        <v>21</v>
      </c>
      <c r="O4" s="17" t="s">
        <v>24</v>
      </c>
      <c r="P4" s="17" t="s">
        <v>27</v>
      </c>
      <c r="Q4" s="17"/>
      <c r="R4" s="17" t="s">
        <v>31</v>
      </c>
    </row>
    <row r="5" spans="1:19" x14ac:dyDescent="0.25">
      <c r="B5" s="17"/>
      <c r="C5" s="16" t="s">
        <v>202</v>
      </c>
      <c r="D5" s="17" t="s">
        <v>40</v>
      </c>
      <c r="E5" s="17" t="s">
        <v>42</v>
      </c>
      <c r="F5" s="17" t="s">
        <v>40</v>
      </c>
      <c r="G5" s="17" t="s">
        <v>40</v>
      </c>
      <c r="H5" s="17" t="s">
        <v>41</v>
      </c>
      <c r="I5" s="17" t="s">
        <v>40</v>
      </c>
      <c r="J5" s="17" t="s">
        <v>42</v>
      </c>
      <c r="K5" s="17" t="s">
        <v>40</v>
      </c>
      <c r="L5" s="17" t="s">
        <v>41</v>
      </c>
      <c r="M5" s="17" t="s">
        <v>40</v>
      </c>
      <c r="N5" s="17" t="s">
        <v>42</v>
      </c>
      <c r="O5" s="17" t="s">
        <v>40</v>
      </c>
      <c r="P5" s="17" t="s">
        <v>41</v>
      </c>
      <c r="Q5" s="17" t="s">
        <v>40</v>
      </c>
      <c r="R5" s="17" t="s">
        <v>42</v>
      </c>
      <c r="S5" s="17" t="s">
        <v>40</v>
      </c>
    </row>
    <row r="6" spans="1:19" x14ac:dyDescent="0.25">
      <c r="B6" s="17"/>
      <c r="C6" s="18"/>
      <c r="D6" s="18"/>
      <c r="E6" s="1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B7" s="38">
        <f>SUM(G7:S7)</f>
        <v>2324.7206773458761</v>
      </c>
      <c r="C7" s="20">
        <v>0</v>
      </c>
      <c r="D7" s="89">
        <f>('FREEVAL INPUT 2017 Hourly'!C7)*(1+$B$4)^($B$1-'FREEVAL INPUT 2017 Hourly'!$A$1)</f>
        <v>427.42457203837512</v>
      </c>
      <c r="E7" s="114">
        <f>('FREEVAL INPUT 2017 Hourly'!D7)*(1+$B$4)^($B$1-'FREEVAL INPUT 2017 Hourly'!$A$1)</f>
        <v>17.054347014000005</v>
      </c>
      <c r="F7" s="89">
        <f>('FREEVAL INPUT 2017 Hourly'!F7)*(1+$B$4)^($B$1-'FREEVAL INPUT 2017 Hourly'!$A$1)</f>
        <v>444.47891905237515</v>
      </c>
      <c r="G7" s="21">
        <f>('FREEVAL INPUT 2017 Hourly'!F7)*(1+$B$4)^($B$1-'FREEVAL INPUT 2017 Hourly'!$A$1)</f>
        <v>444.47891905237515</v>
      </c>
      <c r="H7" s="21">
        <f>('FREEVAL INPUT 2017 Hourly'!G7)*(1+$B$4)^($B$1-'FREEVAL INPUT 2017 Hourly'!$A$1)</f>
        <v>116.18273903287503</v>
      </c>
      <c r="I7" s="21">
        <f>('FREEVAL INPUT 2017 Hourly'!H7)*(1+$B$4)^($B$1-'FREEVAL INPUT 2017 Hourly'!$A$1)</f>
        <v>328.29618001950007</v>
      </c>
      <c r="J7" s="21">
        <f>('FREEVAL INPUT 2017 Hourly'!I7)*(1+$B$4)^($B$1-'FREEVAL INPUT 2017 Hourly'!$A$1)</f>
        <v>14.922553637250004</v>
      </c>
      <c r="K7" s="21">
        <f>('FREEVAL INPUT 2017 Hourly'!J7)*(1+$B$4)^($B$1-'FREEVAL INPUT 2017 Hourly'!$A$1)</f>
        <v>343.21873365675009</v>
      </c>
      <c r="L7" s="21">
        <f>('FREEVAL INPUT 2017 Hourly'!K7)*(1+$B$4)^($B$1-'FREEVAL INPUT 2017 Hourly'!$A$1)</f>
        <v>133.23708604687505</v>
      </c>
      <c r="M7" s="21">
        <f>('FREEVAL INPUT 2017 Hourly'!L7)*(1+$B$4)^($B$1-'FREEVAL INPUT 2017 Hourly'!$A$1)</f>
        <v>209.98164760987507</v>
      </c>
      <c r="N7" s="21">
        <f>('FREEVAL INPUT 2017 Hourly'!M7)*(1+$B$4)^($B$1-'FREEVAL INPUT 2017 Hourly'!$A$1)</f>
        <v>24.515623832625007</v>
      </c>
      <c r="O7" s="21">
        <f>('FREEVAL INPUT 2017 Hourly'!N7)*(1+$B$4)^($B$1-'FREEVAL INPUT 2017 Hourly'!$A$1)</f>
        <v>234.49727144250005</v>
      </c>
      <c r="P7" s="21">
        <f>('FREEVAL INPUT 2017 Hourly'!O7)*(1+$B$4)^($B$1-'FREEVAL INPUT 2017 Hourly'!$A$1)</f>
        <v>14.922553637250004</v>
      </c>
      <c r="Q7" s="21">
        <f>('FREEVAL INPUT 2017 Hourly'!P7)*(1+$B$4)^($B$1-'FREEVAL INPUT 2017 Hourly'!$A$1)</f>
        <v>219.57471780525006</v>
      </c>
      <c r="R7" s="21">
        <f>('FREEVAL INPUT 2017 Hourly'!Q7)*(1+$B$4)^($B$1-'FREEVAL INPUT 2017 Hourly'!$A$1)</f>
        <v>10.658966883750002</v>
      </c>
      <c r="S7" s="21">
        <f>('FREEVAL INPUT 2017 Hourly'!R7)*(1+$B$4)^($B$1-'FREEVAL INPUT 2017 Hourly'!$A$1)</f>
        <v>230.23368468900006</v>
      </c>
    </row>
    <row r="8" spans="1:19" x14ac:dyDescent="0.25">
      <c r="B8" s="38">
        <f t="shared" ref="B8:B30" si="0">SUM(G8:S8)</f>
        <v>1884.5053450470007</v>
      </c>
      <c r="C8" s="20">
        <v>4.1666666666666664E-2</v>
      </c>
      <c r="D8" s="89">
        <f>('FREEVAL INPUT 2017 Hourly'!C8)*(1+$B$4)^($B$1-'FREEVAL INPUT 2017 Hourly'!$A$1)</f>
        <v>334.6915601497501</v>
      </c>
      <c r="E8" s="114">
        <f>('FREEVAL INPUT 2017 Hourly'!D8)*(1+$B$4)^($B$1-'FREEVAL INPUT 2017 Hourly'!$A$1)</f>
        <v>13.856656948875004</v>
      </c>
      <c r="F8" s="89">
        <f>('FREEVAL INPUT 2017 Hourly'!F8)*(1+$B$4)^($B$1-'FREEVAL INPUT 2017 Hourly'!$A$1)</f>
        <v>348.54821709862512</v>
      </c>
      <c r="G8" s="21">
        <f>('FREEVAL INPUT 2017 Hourly'!F8)*(1+$B$4)^($B$1-'FREEVAL INPUT 2017 Hourly'!$A$1)</f>
        <v>348.54821709862512</v>
      </c>
      <c r="H8" s="21">
        <f>('FREEVAL INPUT 2017 Hourly'!G8)*(1+$B$4)^($B$1-'FREEVAL INPUT 2017 Hourly'!$A$1)</f>
        <v>86.337631758375025</v>
      </c>
      <c r="I8" s="21">
        <f>('FREEVAL INPUT 2017 Hourly'!H8)*(1+$B$4)^($B$1-'FREEVAL INPUT 2017 Hourly'!$A$1)</f>
        <v>262.21058534025008</v>
      </c>
      <c r="J8" s="21">
        <f>('FREEVAL INPUT 2017 Hourly'!I8)*(1+$B$4)^($B$1-'FREEVAL INPUT 2017 Hourly'!$A$1)</f>
        <v>17.054347014000005</v>
      </c>
      <c r="K8" s="21">
        <f>('FREEVAL INPUT 2017 Hourly'!J8)*(1+$B$4)^($B$1-'FREEVAL INPUT 2017 Hourly'!$A$1)</f>
        <v>279.26493235425005</v>
      </c>
      <c r="L8" s="21">
        <f>('FREEVAL INPUT 2017 Hourly'!K8)*(1+$B$4)^($B$1-'FREEVAL INPUT 2017 Hourly'!$A$1)</f>
        <v>104.45787546075003</v>
      </c>
      <c r="M8" s="21">
        <f>('FREEVAL INPUT 2017 Hourly'!L8)*(1+$B$4)^($B$1-'FREEVAL INPUT 2017 Hourly'!$A$1)</f>
        <v>174.80705689350006</v>
      </c>
      <c r="N8" s="21">
        <f>('FREEVAL INPUT 2017 Hourly'!M8)*(1+$B$4)^($B$1-'FREEVAL INPUT 2017 Hourly'!$A$1)</f>
        <v>19.186140390750005</v>
      </c>
      <c r="O8" s="21">
        <f>('FREEVAL INPUT 2017 Hourly'!N8)*(1+$B$4)^($B$1-'FREEVAL INPUT 2017 Hourly'!$A$1)</f>
        <v>193.99319728425004</v>
      </c>
      <c r="P8" s="21">
        <f>('FREEVAL INPUT 2017 Hourly'!O8)*(1+$B$4)^($B$1-'FREEVAL INPUT 2017 Hourly'!$A$1)</f>
        <v>2.1317933767500006</v>
      </c>
      <c r="Q8" s="21">
        <f>('FREEVAL INPUT 2017 Hourly'!P8)*(1+$B$4)^($B$1-'FREEVAL INPUT 2017 Hourly'!$A$1)</f>
        <v>191.86140390750006</v>
      </c>
      <c r="R8" s="21">
        <f>('FREEVAL INPUT 2017 Hourly'!Q8)*(1+$B$4)^($B$1-'FREEVAL INPUT 2017 Hourly'!$A$1)</f>
        <v>6.3953801302500022</v>
      </c>
      <c r="S8" s="21">
        <f>('FREEVAL INPUT 2017 Hourly'!R8)*(1+$B$4)^($B$1-'FREEVAL INPUT 2017 Hourly'!$A$1)</f>
        <v>198.25678403775007</v>
      </c>
    </row>
    <row r="9" spans="1:19" x14ac:dyDescent="0.25">
      <c r="B9" s="38">
        <f t="shared" si="0"/>
        <v>1485.8599835947502</v>
      </c>
      <c r="C9" s="20">
        <v>8.3333333333333301E-2</v>
      </c>
      <c r="D9" s="89">
        <f>('FREEVAL INPUT 2017 Hourly'!C9)*(1+$B$4)^($B$1-'FREEVAL INPUT 2017 Hourly'!$A$1)</f>
        <v>233.43137475412507</v>
      </c>
      <c r="E9" s="114">
        <f>('FREEVAL INPUT 2017 Hourly'!D9)*(1+$B$4)^($B$1-'FREEVAL INPUT 2017 Hourly'!$A$1)</f>
        <v>11.724863572125003</v>
      </c>
      <c r="F9" s="89">
        <f>('FREEVAL INPUT 2017 Hourly'!F9)*(1+$B$4)^($B$1-'FREEVAL INPUT 2017 Hourly'!$A$1)</f>
        <v>245.15623832625008</v>
      </c>
      <c r="G9" s="21">
        <f>('FREEVAL INPUT 2017 Hourly'!F9)*(1+$B$4)^($B$1-'FREEVAL INPUT 2017 Hourly'!$A$1)</f>
        <v>245.15623832625008</v>
      </c>
      <c r="H9" s="21">
        <f>('FREEVAL INPUT 2017 Hourly'!G9)*(1+$B$4)^($B$1-'FREEVAL INPUT 2017 Hourly'!$A$1)</f>
        <v>52.228937730375016</v>
      </c>
      <c r="I9" s="21">
        <f>('FREEVAL INPUT 2017 Hourly'!H9)*(1+$B$4)^($B$1-'FREEVAL INPUT 2017 Hourly'!$A$1)</f>
        <v>192.92730059587504</v>
      </c>
      <c r="J9" s="21">
        <f>('FREEVAL INPUT 2017 Hourly'!I9)*(1+$B$4)^($B$1-'FREEVAL INPUT 2017 Hourly'!$A$1)</f>
        <v>19.186140390750005</v>
      </c>
      <c r="K9" s="21">
        <f>('FREEVAL INPUT 2017 Hourly'!J9)*(1+$B$4)^($B$1-'FREEVAL INPUT 2017 Hourly'!$A$1)</f>
        <v>212.11344098662505</v>
      </c>
      <c r="L9" s="21">
        <f>('FREEVAL INPUT 2017 Hourly'!K9)*(1+$B$4)^($B$1-'FREEVAL INPUT 2017 Hourly'!$A$1)</f>
        <v>46.89945428850001</v>
      </c>
      <c r="M9" s="21">
        <f>('FREEVAL INPUT 2017 Hourly'!L9)*(1+$B$4)^($B$1-'FREEVAL INPUT 2017 Hourly'!$A$1)</f>
        <v>165.21398669812504</v>
      </c>
      <c r="N9" s="21">
        <f>('FREEVAL INPUT 2017 Hourly'!M9)*(1+$B$4)^($B$1-'FREEVAL INPUT 2017 Hourly'!$A$1)</f>
        <v>14.922553637250004</v>
      </c>
      <c r="O9" s="21">
        <f>('FREEVAL INPUT 2017 Hourly'!N9)*(1+$B$4)^($B$1-'FREEVAL INPUT 2017 Hourly'!$A$1)</f>
        <v>180.13654033537506</v>
      </c>
      <c r="P9" s="21">
        <f>('FREEVAL INPUT 2017 Hourly'!O9)*(1+$B$4)^($B$1-'FREEVAL INPUT 2017 Hourly'!$A$1)</f>
        <v>7.4612768186250022</v>
      </c>
      <c r="Q9" s="21">
        <f>('FREEVAL INPUT 2017 Hourly'!P9)*(1+$B$4)^($B$1-'FREEVAL INPUT 2017 Hourly'!$A$1)</f>
        <v>172.67526351675005</v>
      </c>
      <c r="R9" s="21">
        <f>('FREEVAL INPUT 2017 Hourly'!Q9)*(1+$B$4)^($B$1-'FREEVAL INPUT 2017 Hourly'!$A$1)</f>
        <v>2.1317933767500006</v>
      </c>
      <c r="S9" s="21">
        <f>('FREEVAL INPUT 2017 Hourly'!R9)*(1+$B$4)^($B$1-'FREEVAL INPUT 2017 Hourly'!$A$1)</f>
        <v>174.80705689350006</v>
      </c>
    </row>
    <row r="10" spans="1:19" x14ac:dyDescent="0.25">
      <c r="B10" s="38">
        <f t="shared" si="0"/>
        <v>1651.0739702928754</v>
      </c>
      <c r="C10" s="20">
        <v>0.125</v>
      </c>
      <c r="D10" s="89">
        <f>('FREEVAL INPUT 2017 Hourly'!C10)*(1+$B$4)^($B$1-'FREEVAL INPUT 2017 Hourly'!$A$1)</f>
        <v>279.26493235425005</v>
      </c>
      <c r="E10" s="114">
        <f>('FREEVAL INPUT 2017 Hourly'!D10)*(1+$B$4)^($B$1-'FREEVAL INPUT 2017 Hourly'!$A$1)</f>
        <v>13.856656948875004</v>
      </c>
      <c r="F10" s="89">
        <f>('FREEVAL INPUT 2017 Hourly'!F10)*(1+$B$4)^($B$1-'FREEVAL INPUT 2017 Hourly'!$A$1)</f>
        <v>293.12158930312506</v>
      </c>
      <c r="G10" s="21">
        <f>('FREEVAL INPUT 2017 Hourly'!F10)*(1+$B$4)^($B$1-'FREEVAL INPUT 2017 Hourly'!$A$1)</f>
        <v>293.12158930312506</v>
      </c>
      <c r="H10" s="21">
        <f>('FREEVAL INPUT 2017 Hourly'!G10)*(1+$B$4)^($B$1-'FREEVAL INPUT 2017 Hourly'!$A$1)</f>
        <v>77.810458251375024</v>
      </c>
      <c r="I10" s="21">
        <f>('FREEVAL INPUT 2017 Hourly'!H10)*(1+$B$4)^($B$1-'FREEVAL INPUT 2017 Hourly'!$A$1)</f>
        <v>215.31113105175007</v>
      </c>
      <c r="J10" s="21">
        <f>('FREEVAL INPUT 2017 Hourly'!I10)*(1+$B$4)^($B$1-'FREEVAL INPUT 2017 Hourly'!$A$1)</f>
        <v>18.120243702375006</v>
      </c>
      <c r="K10" s="21">
        <f>('FREEVAL INPUT 2017 Hourly'!J10)*(1+$B$4)^($B$1-'FREEVAL INPUT 2017 Hourly'!$A$1)</f>
        <v>233.43137475412507</v>
      </c>
      <c r="L10" s="21">
        <f>('FREEVAL INPUT 2017 Hourly'!K10)*(1+$B$4)^($B$1-'FREEVAL INPUT 2017 Hourly'!$A$1)</f>
        <v>61.822007925750015</v>
      </c>
      <c r="M10" s="21">
        <f>('FREEVAL INPUT 2017 Hourly'!L10)*(1+$B$4)^($B$1-'FREEVAL INPUT 2017 Hourly'!$A$1)</f>
        <v>171.60936682837504</v>
      </c>
      <c r="N10" s="21">
        <f>('FREEVAL INPUT 2017 Hourly'!M10)*(1+$B$4)^($B$1-'FREEVAL INPUT 2017 Hourly'!$A$1)</f>
        <v>14.922553637250004</v>
      </c>
      <c r="O10" s="21">
        <f>('FREEVAL INPUT 2017 Hourly'!N10)*(1+$B$4)^($B$1-'FREEVAL INPUT 2017 Hourly'!$A$1)</f>
        <v>186.53192046562506</v>
      </c>
      <c r="P10" s="21">
        <f>('FREEVAL INPUT 2017 Hourly'!O10)*(1+$B$4)^($B$1-'FREEVAL INPUT 2017 Hourly'!$A$1)</f>
        <v>3.1976900651250011</v>
      </c>
      <c r="Q10" s="21">
        <f>('FREEVAL INPUT 2017 Hourly'!P10)*(1+$B$4)^($B$1-'FREEVAL INPUT 2017 Hourly'!$A$1)</f>
        <v>183.33423040050005</v>
      </c>
      <c r="R10" s="21">
        <f>('FREEVAL INPUT 2017 Hourly'!Q10)*(1+$B$4)^($B$1-'FREEVAL INPUT 2017 Hourly'!$A$1)</f>
        <v>4.2635867535000012</v>
      </c>
      <c r="S10" s="21">
        <f>('FREEVAL INPUT 2017 Hourly'!R10)*(1+$B$4)^($B$1-'FREEVAL INPUT 2017 Hourly'!$A$1)</f>
        <v>187.59781715400004</v>
      </c>
    </row>
    <row r="11" spans="1:19" x14ac:dyDescent="0.25">
      <c r="B11" s="38">
        <f t="shared" si="0"/>
        <v>2124.3320999313755</v>
      </c>
      <c r="C11" s="20">
        <v>0.16666666666666699</v>
      </c>
      <c r="D11" s="89">
        <f>('FREEVAL INPUT 2017 Hourly'!C11)*(1+$B$4)^($B$1-'FREEVAL INPUT 2017 Hourly'!$A$1)</f>
        <v>338.95514690325007</v>
      </c>
      <c r="E11" s="114">
        <f>('FREEVAL INPUT 2017 Hourly'!D11)*(1+$B$4)^($B$1-'FREEVAL INPUT 2017 Hourly'!$A$1)</f>
        <v>19.186140390750005</v>
      </c>
      <c r="F11" s="89">
        <f>('FREEVAL INPUT 2017 Hourly'!F11)*(1+$B$4)^($B$1-'FREEVAL INPUT 2017 Hourly'!$A$1)</f>
        <v>358.14128729400011</v>
      </c>
      <c r="G11" s="21">
        <f>('FREEVAL INPUT 2017 Hourly'!F11)*(1+$B$4)^($B$1-'FREEVAL INPUT 2017 Hourly'!$A$1)</f>
        <v>358.14128729400011</v>
      </c>
      <c r="H11" s="21">
        <f>('FREEVAL INPUT 2017 Hourly'!G11)*(1+$B$4)^($B$1-'FREEVAL INPUT 2017 Hourly'!$A$1)</f>
        <v>86.337631758375025</v>
      </c>
      <c r="I11" s="21">
        <f>('FREEVAL INPUT 2017 Hourly'!H11)*(1+$B$4)^($B$1-'FREEVAL INPUT 2017 Hourly'!$A$1)</f>
        <v>271.80365553562507</v>
      </c>
      <c r="J11" s="21">
        <f>('FREEVAL INPUT 2017 Hourly'!I11)*(1+$B$4)^($B$1-'FREEVAL INPUT 2017 Hourly'!$A$1)</f>
        <v>24.515623832625007</v>
      </c>
      <c r="K11" s="21">
        <f>('FREEVAL INPUT 2017 Hourly'!J11)*(1+$B$4)^($B$1-'FREEVAL INPUT 2017 Hourly'!$A$1)</f>
        <v>296.31927936825008</v>
      </c>
      <c r="L11" s="21">
        <f>('FREEVAL INPUT 2017 Hourly'!K11)*(1+$B$4)^($B$1-'FREEVAL INPUT 2017 Hourly'!$A$1)</f>
        <v>76.744561563000019</v>
      </c>
      <c r="M11" s="21">
        <f>('FREEVAL INPUT 2017 Hourly'!L11)*(1+$B$4)^($B$1-'FREEVAL INPUT 2017 Hourly'!$A$1)</f>
        <v>219.57471780525006</v>
      </c>
      <c r="N11" s="21">
        <f>('FREEVAL INPUT 2017 Hourly'!M11)*(1+$B$4)^($B$1-'FREEVAL INPUT 2017 Hourly'!$A$1)</f>
        <v>27.713313897750009</v>
      </c>
      <c r="O11" s="21">
        <f>('FREEVAL INPUT 2017 Hourly'!N11)*(1+$B$4)^($B$1-'FREEVAL INPUT 2017 Hourly'!$A$1)</f>
        <v>247.28803170300006</v>
      </c>
      <c r="P11" s="21">
        <f>('FREEVAL INPUT 2017 Hourly'!O11)*(1+$B$4)^($B$1-'FREEVAL INPUT 2017 Hourly'!$A$1)</f>
        <v>6.3953801302500022</v>
      </c>
      <c r="Q11" s="21">
        <f>('FREEVAL INPUT 2017 Hourly'!P11)*(1+$B$4)^($B$1-'FREEVAL INPUT 2017 Hourly'!$A$1)</f>
        <v>240.89265157275005</v>
      </c>
      <c r="R11" s="21">
        <f>('FREEVAL INPUT 2017 Hourly'!Q11)*(1+$B$4)^($B$1-'FREEVAL INPUT 2017 Hourly'!$A$1)</f>
        <v>13.856656948875004</v>
      </c>
      <c r="S11" s="21">
        <f>('FREEVAL INPUT 2017 Hourly'!R11)*(1+$B$4)^($B$1-'FREEVAL INPUT 2017 Hourly'!$A$1)</f>
        <v>254.74930852162507</v>
      </c>
    </row>
    <row r="12" spans="1:19" x14ac:dyDescent="0.25">
      <c r="B12" s="38">
        <f t="shared" si="0"/>
        <v>3784.9991404196253</v>
      </c>
      <c r="C12" s="20">
        <v>0.20833333333333301</v>
      </c>
      <c r="D12" s="89">
        <f>('FREEVAL INPUT 2017 Hourly'!C12)*(1+$B$4)^($B$1-'FREEVAL INPUT 2017 Hourly'!$A$1)</f>
        <v>633.14263289475014</v>
      </c>
      <c r="E12" s="114">
        <f>('FREEVAL INPUT 2017 Hourly'!D12)*(1+$B$4)^($B$1-'FREEVAL INPUT 2017 Hourly'!$A$1)</f>
        <v>21.317933767500005</v>
      </c>
      <c r="F12" s="89">
        <f>('FREEVAL INPUT 2017 Hourly'!F12)*(1+$B$4)^($B$1-'FREEVAL INPUT 2017 Hourly'!$A$1)</f>
        <v>654.46056666225013</v>
      </c>
      <c r="G12" s="21">
        <f>('FREEVAL INPUT 2017 Hourly'!F12)*(1+$B$4)^($B$1-'FREEVAL INPUT 2017 Hourly'!$A$1)</f>
        <v>654.46056666225013</v>
      </c>
      <c r="H12" s="21">
        <f>('FREEVAL INPUT 2017 Hourly'!G12)*(1+$B$4)^($B$1-'FREEVAL INPUT 2017 Hourly'!$A$1)</f>
        <v>152.42322643762503</v>
      </c>
      <c r="I12" s="21">
        <f>('FREEVAL INPUT 2017 Hourly'!H12)*(1+$B$4)^($B$1-'FREEVAL INPUT 2017 Hourly'!$A$1)</f>
        <v>502.03734022462515</v>
      </c>
      <c r="J12" s="21">
        <f>('FREEVAL INPUT 2017 Hourly'!I12)*(1+$B$4)^($B$1-'FREEVAL INPUT 2017 Hourly'!$A$1)</f>
        <v>36.240487404750013</v>
      </c>
      <c r="K12" s="21">
        <f>('FREEVAL INPUT 2017 Hourly'!J12)*(1+$B$4)^($B$1-'FREEVAL INPUT 2017 Hourly'!$A$1)</f>
        <v>538.27782762937511</v>
      </c>
      <c r="L12" s="21">
        <f>('FREEVAL INPUT 2017 Hourly'!K12)*(1+$B$4)^($B$1-'FREEVAL INPUT 2017 Hourly'!$A$1)</f>
        <v>167.34578007487505</v>
      </c>
      <c r="M12" s="21">
        <f>('FREEVAL INPUT 2017 Hourly'!L12)*(1+$B$4)^($B$1-'FREEVAL INPUT 2017 Hourly'!$A$1)</f>
        <v>370.93204755450012</v>
      </c>
      <c r="N12" s="21">
        <f>('FREEVAL INPUT 2017 Hourly'!M12)*(1+$B$4)^($B$1-'FREEVAL INPUT 2017 Hourly'!$A$1)</f>
        <v>51.163041042000017</v>
      </c>
      <c r="O12" s="21">
        <f>('FREEVAL INPUT 2017 Hourly'!N12)*(1+$B$4)^($B$1-'FREEVAL INPUT 2017 Hourly'!$A$1)</f>
        <v>422.09508859650009</v>
      </c>
      <c r="P12" s="21">
        <f>('FREEVAL INPUT 2017 Hourly'!O12)*(1+$B$4)^($B$1-'FREEVAL INPUT 2017 Hourly'!$A$1)</f>
        <v>13.856656948875004</v>
      </c>
      <c r="Q12" s="21">
        <f>('FREEVAL INPUT 2017 Hourly'!P12)*(1+$B$4)^($B$1-'FREEVAL INPUT 2017 Hourly'!$A$1)</f>
        <v>408.23843164762513</v>
      </c>
      <c r="R12" s="21">
        <f>('FREEVAL INPUT 2017 Hourly'!Q12)*(1+$B$4)^($B$1-'FREEVAL INPUT 2017 Hourly'!$A$1)</f>
        <v>29.845107274500009</v>
      </c>
      <c r="S12" s="21">
        <f>('FREEVAL INPUT 2017 Hourly'!R12)*(1+$B$4)^($B$1-'FREEVAL INPUT 2017 Hourly'!$A$1)</f>
        <v>438.08353892212511</v>
      </c>
    </row>
    <row r="13" spans="1:19" s="52" customFormat="1" x14ac:dyDescent="0.25">
      <c r="B13" s="38">
        <f t="shared" si="0"/>
        <v>7857.7903867005025</v>
      </c>
      <c r="C13" s="50">
        <v>0.25</v>
      </c>
      <c r="D13" s="105">
        <f>('FREEVAL INPUT 2017 Hourly'!C13)*(1+$B$4)^($B$1-'FREEVAL INPUT 2017 Hourly'!$A$1)</f>
        <v>1348.3593107943755</v>
      </c>
      <c r="E13" s="114">
        <f>('FREEVAL INPUT 2017 Hourly'!D13)*(1+$B$4)^($B$1-'FREEVAL INPUT 2017 Hourly'!$A$1)</f>
        <v>31.976900651250009</v>
      </c>
      <c r="F13" s="105">
        <f>('FREEVAL INPUT 2017 Hourly'!F13)*(1+$B$4)^($B$1-'FREEVAL INPUT 2017 Hourly'!$A$1)</f>
        <v>1380.3362114456254</v>
      </c>
      <c r="G13" s="21">
        <f>('FREEVAL INPUT 2017 Hourly'!F13)*(1+$B$4)^($B$1-'FREEVAL INPUT 2017 Hourly'!$A$1)</f>
        <v>1380.3362114456254</v>
      </c>
      <c r="H13" s="21">
        <f>('FREEVAL INPUT 2017 Hourly'!G13)*(1+$B$4)^($B$1-'FREEVAL INPUT 2017 Hourly'!$A$1)</f>
        <v>393.31587801037512</v>
      </c>
      <c r="I13" s="21">
        <f>('FREEVAL INPUT 2017 Hourly'!H13)*(1+$B$4)^($B$1-'FREEVAL INPUT 2017 Hourly'!$A$1)</f>
        <v>987.02033343525022</v>
      </c>
      <c r="J13" s="21">
        <f>('FREEVAL INPUT 2017 Hourly'!I13)*(1+$B$4)^($B$1-'FREEVAL INPUT 2017 Hourly'!$A$1)</f>
        <v>82.074045004875018</v>
      </c>
      <c r="K13" s="21">
        <f>('FREEVAL INPUT 2017 Hourly'!J13)*(1+$B$4)^($B$1-'FREEVAL INPUT 2017 Hourly'!$A$1)</f>
        <v>1069.0943784401252</v>
      </c>
      <c r="L13" s="21">
        <f>('FREEVAL INPUT 2017 Hourly'!K13)*(1+$B$4)^($B$1-'FREEVAL INPUT 2017 Hourly'!$A$1)</f>
        <v>311.2418330055001</v>
      </c>
      <c r="M13" s="21">
        <f>('FREEVAL INPUT 2017 Hourly'!L13)*(1+$B$4)^($B$1-'FREEVAL INPUT 2017 Hourly'!$A$1)</f>
        <v>757.8525454346252</v>
      </c>
      <c r="N13" s="21">
        <f>('FREEVAL INPUT 2017 Hourly'!M13)*(1+$B$4)^($B$1-'FREEVAL INPUT 2017 Hourly'!$A$1)</f>
        <v>120.44632578637503</v>
      </c>
      <c r="O13" s="21">
        <f>('FREEVAL INPUT 2017 Hourly'!N13)*(1+$B$4)^($B$1-'FREEVAL INPUT 2017 Hourly'!$A$1)</f>
        <v>878.29887122100024</v>
      </c>
      <c r="P13" s="21">
        <f>('FREEVAL INPUT 2017 Hourly'!O13)*(1+$B$4)^($B$1-'FREEVAL INPUT 2017 Hourly'!$A$1)</f>
        <v>40.504074158250013</v>
      </c>
      <c r="Q13" s="21">
        <f>('FREEVAL INPUT 2017 Hourly'!P13)*(1+$B$4)^($B$1-'FREEVAL INPUT 2017 Hourly'!$A$1)</f>
        <v>837.79479706275026</v>
      </c>
      <c r="R13" s="21">
        <f>('FREEVAL INPUT 2017 Hourly'!Q13)*(1+$B$4)^($B$1-'FREEVAL INPUT 2017 Hourly'!$A$1)</f>
        <v>81.008148316500026</v>
      </c>
      <c r="S13" s="21">
        <f>('FREEVAL INPUT 2017 Hourly'!R13)*(1+$B$4)^($B$1-'FREEVAL INPUT 2017 Hourly'!$A$1)</f>
        <v>918.80294537925022</v>
      </c>
    </row>
    <row r="14" spans="1:19" s="51" customFormat="1" x14ac:dyDescent="0.25">
      <c r="A14" s="102" t="s">
        <v>242</v>
      </c>
      <c r="B14" s="39">
        <f t="shared" si="0"/>
        <v>10291.598863906751</v>
      </c>
      <c r="C14" s="40">
        <v>0.29166666666666702</v>
      </c>
      <c r="D14" s="91">
        <f>('FREEVAL INPUT 2017 Hourly'!C14)*(1+$B$4)^($B$1-'FREEVAL INPUT 2017 Hourly'!$A$1)</f>
        <v>1854.6602377725005</v>
      </c>
      <c r="E14" s="91">
        <v>59</v>
      </c>
      <c r="F14" s="91">
        <f>('FREEVAL INPUT 2017 Hourly'!F14)*(1+$B$4)^($B$1-'FREEVAL INPUT 2017 Hourly'!$A$1)</f>
        <v>1902.6255887493755</v>
      </c>
      <c r="G14" s="44">
        <f>('FREEVAL INPUT 2017 Hourly'!F14)*(1+$B$4)^($B$1-'FREEVAL INPUT 2017 Hourly'!$A$1)</f>
        <v>1902.6255887493755</v>
      </c>
      <c r="H14" s="44">
        <f>('FREEVAL INPUT 2017 Hourly'!G14)*(1+$B$4)^($B$1-'FREEVAL INPUT 2017 Hourly'!$A$1)</f>
        <v>615.02238919237516</v>
      </c>
      <c r="I14" s="44">
        <f>('FREEVAL INPUT 2017 Hourly'!H14)*(1+$B$4)^($B$1-'FREEVAL INPUT 2017 Hourly'!$A$1)</f>
        <v>1287.6031995570004</v>
      </c>
      <c r="J14" s="44">
        <v>120</v>
      </c>
      <c r="K14" s="44">
        <f>I14+J14</f>
        <v>1407.6031995570004</v>
      </c>
      <c r="L14" s="44">
        <f>('FREEVAL INPUT 2017 Hourly'!K14)*(1+$B$4)^($B$1-'FREEVAL INPUT 2017 Hourly'!$A$1)</f>
        <v>567.05703821550014</v>
      </c>
      <c r="M14" s="44">
        <f>K14-L14</f>
        <v>840.54616134150024</v>
      </c>
      <c r="N14" s="44">
        <v>184</v>
      </c>
      <c r="O14" s="44">
        <v>1025</v>
      </c>
      <c r="P14" s="44">
        <v>66</v>
      </c>
      <c r="Q14" s="44">
        <f>O14-P14</f>
        <v>959</v>
      </c>
      <c r="R14" s="44">
        <f>('FREEVAL INPUT 2017 Hourly'!Q14)*(1+$B$4)^($B$1-'FREEVAL INPUT 2017 Hourly'!$A$1)</f>
        <v>179.07064364700005</v>
      </c>
      <c r="S14" s="44">
        <f>Q14+R14</f>
        <v>1138.070643647</v>
      </c>
    </row>
    <row r="15" spans="1:19" x14ac:dyDescent="0.25">
      <c r="B15" s="38">
        <f t="shared" si="0"/>
        <v>10339.197877237502</v>
      </c>
      <c r="C15" s="20">
        <v>0.33333333333333298</v>
      </c>
      <c r="D15" s="89">
        <f>('FREEVAL INPUT 2017 Hourly'!C15)*(1+$B$4)^($B$1-'FREEVAL INPUT 2017 Hourly'!$A$1)</f>
        <v>1940.9978695308755</v>
      </c>
      <c r="E15" s="114">
        <f>('FREEVAL INPUT 2017 Hourly'!D15)*(1+$B$4)^($B$1-'FREEVAL INPUT 2017 Hourly'!$A$1)</f>
        <v>61.822007925750015</v>
      </c>
      <c r="F15" s="89">
        <f>('FREEVAL INPUT 2017 Hourly'!F15)*(1+$B$4)^($B$1-'FREEVAL INPUT 2017 Hourly'!$A$1)</f>
        <v>2002.8198774566256</v>
      </c>
      <c r="G15" s="21">
        <f>('FREEVAL INPUT 2017 Hourly'!F15)*(1+$B$4)^($B$1-'FREEVAL INPUT 2017 Hourly'!$A$1)</f>
        <v>2002.8198774566256</v>
      </c>
      <c r="H15" s="21">
        <f>('FREEVAL INPUT 2017 Hourly'!G15)*(1+$B$4)^($B$1-'FREEVAL INPUT 2017 Hourly'!$A$1)</f>
        <v>646.99928984362521</v>
      </c>
      <c r="I15" s="21">
        <f>('FREEVAL INPUT 2017 Hourly'!H15)*(1+$B$4)^($B$1-'FREEVAL INPUT 2017 Hourly'!$A$1)</f>
        <v>1355.8205876130003</v>
      </c>
      <c r="J15" s="21">
        <f>('FREEVAL INPUT 2017 Hourly'!I15)*(1+$B$4)^($B$1-'FREEVAL INPUT 2017 Hourly'!$A$1)</f>
        <v>123.64401585150003</v>
      </c>
      <c r="K15" s="21">
        <f>('FREEVAL INPUT 2017 Hourly'!J15)*(1+$B$4)^($B$1-'FREEVAL INPUT 2017 Hourly'!$A$1)</f>
        <v>1479.4646034645004</v>
      </c>
      <c r="L15" s="21">
        <f>('FREEVAL INPUT 2017 Hourly'!K15)*(1+$B$4)^($B$1-'FREEVAL INPUT 2017 Hourly'!$A$1)</f>
        <v>651.26287659712523</v>
      </c>
      <c r="M15" s="21">
        <f>('FREEVAL INPUT 2017 Hourly'!L15)*(1+$B$4)^($B$1-'FREEVAL INPUT 2017 Hourly'!$A$1)</f>
        <v>828.20172686737521</v>
      </c>
      <c r="N15" s="21">
        <f>('FREEVAL INPUT 2017 Hourly'!M15)*(1+$B$4)^($B$1-'FREEVAL INPUT 2017 Hourly'!$A$1)</f>
        <v>162.01629663300005</v>
      </c>
      <c r="O15" s="21">
        <f>('FREEVAL INPUT 2017 Hourly'!N15)*(1+$B$4)^($B$1-'FREEVAL INPUT 2017 Hourly'!$A$1)</f>
        <v>990.21802350037524</v>
      </c>
      <c r="P15" s="21">
        <f>('FREEVAL INPUT 2017 Hourly'!O15)*(1+$B$4)^($B$1-'FREEVAL INPUT 2017 Hourly'!$A$1)</f>
        <v>58.624317860625013</v>
      </c>
      <c r="Q15" s="21">
        <f>('FREEVAL INPUT 2017 Hourly'!P15)*(1+$B$4)^($B$1-'FREEVAL INPUT 2017 Hourly'!$A$1)</f>
        <v>931.59370563975028</v>
      </c>
      <c r="R15" s="21">
        <f>('FREEVAL INPUT 2017 Hourly'!Q15)*(1+$B$4)^($B$1-'FREEVAL INPUT 2017 Hourly'!$A$1)</f>
        <v>88.469425135125022</v>
      </c>
      <c r="S15" s="21">
        <f>('FREEVAL INPUT 2017 Hourly'!R15)*(1+$B$4)^($B$1-'FREEVAL INPUT 2017 Hourly'!$A$1)</f>
        <v>1020.0631307748753</v>
      </c>
    </row>
    <row r="16" spans="1:19" x14ac:dyDescent="0.25">
      <c r="B16" s="38">
        <f t="shared" si="0"/>
        <v>11035.22841474638</v>
      </c>
      <c r="C16" s="20">
        <v>0.375</v>
      </c>
      <c r="D16" s="89">
        <f>('FREEVAL INPUT 2017 Hourly'!C16)*(1+$B$4)^($B$1-'FREEVAL INPUT 2017 Hourly'!$A$1)</f>
        <v>2016.6765344055007</v>
      </c>
      <c r="E16" s="114">
        <f>('FREEVAL INPUT 2017 Hourly'!D16)*(1+$B$4)^($B$1-'FREEVAL INPUT 2017 Hourly'!$A$1)</f>
        <v>68.217388056000019</v>
      </c>
      <c r="F16" s="89">
        <f>('FREEVAL INPUT 2017 Hourly'!F16)*(1+$B$4)^($B$1-'FREEVAL INPUT 2017 Hourly'!$A$1)</f>
        <v>2084.8939224615006</v>
      </c>
      <c r="G16" s="21">
        <f>('FREEVAL INPUT 2017 Hourly'!F16)*(1+$B$4)^($B$1-'FREEVAL INPUT 2017 Hourly'!$A$1)</f>
        <v>2084.8939224615006</v>
      </c>
      <c r="H16" s="21">
        <f>('FREEVAL INPUT 2017 Hourly'!G16)*(1+$B$4)^($B$1-'FREEVAL INPUT 2017 Hourly'!$A$1)</f>
        <v>629.94494282962512</v>
      </c>
      <c r="I16" s="21">
        <f>('FREEVAL INPUT 2017 Hourly'!H16)*(1+$B$4)^($B$1-'FREEVAL INPUT 2017 Hourly'!$A$1)</f>
        <v>1454.9489796318753</v>
      </c>
      <c r="J16" s="21">
        <f>('FREEVAL INPUT 2017 Hourly'!I16)*(1+$B$4)^($B$1-'FREEVAL INPUT 2017 Hourly'!$A$1)</f>
        <v>114.05094565612504</v>
      </c>
      <c r="K16" s="21">
        <f>('FREEVAL INPUT 2017 Hourly'!J16)*(1+$B$4)^($B$1-'FREEVAL INPUT 2017 Hourly'!$A$1)</f>
        <v>1568.9999252880004</v>
      </c>
      <c r="L16" s="21">
        <f>('FREEVAL INPUT 2017 Hourly'!K16)*(1+$B$4)^($B$1-'FREEVAL INPUT 2017 Hourly'!$A$1)</f>
        <v>620.35187263425019</v>
      </c>
      <c r="M16" s="21">
        <f>('FREEVAL INPUT 2017 Hourly'!L16)*(1+$B$4)^($B$1-'FREEVAL INPUT 2017 Hourly'!$A$1)</f>
        <v>948.64805265375026</v>
      </c>
      <c r="N16" s="21">
        <f>('FREEVAL INPUT 2017 Hourly'!M16)*(1+$B$4)^($B$1-'FREEVAL INPUT 2017 Hourly'!$A$1)</f>
        <v>173.74116020512506</v>
      </c>
      <c r="O16" s="21">
        <f>('FREEVAL INPUT 2017 Hourly'!N16)*(1+$B$4)^($B$1-'FREEVAL INPUT 2017 Hourly'!$A$1)</f>
        <v>1122.3892128588752</v>
      </c>
      <c r="P16" s="21">
        <f>('FREEVAL INPUT 2017 Hourly'!O16)*(1+$B$4)^($B$1-'FREEVAL INPUT 2017 Hourly'!$A$1)</f>
        <v>59.690214549000018</v>
      </c>
      <c r="Q16" s="21">
        <f>('FREEVAL INPUT 2017 Hourly'!P16)*(1+$B$4)^($B$1-'FREEVAL INPUT 2017 Hourly'!$A$1)</f>
        <v>1062.6989983098754</v>
      </c>
      <c r="R16" s="21">
        <f>('FREEVAL INPUT 2017 Hourly'!Q16)*(1+$B$4)^($B$1-'FREEVAL INPUT 2017 Hourly'!$A$1)</f>
        <v>66.085594679250022</v>
      </c>
      <c r="S16" s="21">
        <f>('FREEVAL INPUT 2017 Hourly'!R16)*(1+$B$4)^($B$1-'FREEVAL INPUT 2017 Hourly'!$A$1)</f>
        <v>1128.7845929891253</v>
      </c>
    </row>
    <row r="17" spans="1:19" x14ac:dyDescent="0.25">
      <c r="B17" s="38">
        <f t="shared" si="0"/>
        <v>11550.056515231503</v>
      </c>
      <c r="C17" s="20">
        <v>0.41666666666666702</v>
      </c>
      <c r="D17" s="89">
        <f>('FREEVAL INPUT 2017 Hourly'!C17)*(1+$B$4)^($B$1-'FREEVAL INPUT 2017 Hourly'!$A$1)</f>
        <v>2066.7736787591257</v>
      </c>
      <c r="E17" s="114">
        <f>('FREEVAL INPUT 2017 Hourly'!D17)*(1+$B$4)^($B$1-'FREEVAL INPUT 2017 Hourly'!$A$1)</f>
        <v>78.876354939750016</v>
      </c>
      <c r="F17" s="89">
        <f>('FREEVAL INPUT 2017 Hourly'!F17)*(1+$B$4)^($B$1-'FREEVAL INPUT 2017 Hourly'!$A$1)</f>
        <v>2145.6500336988756</v>
      </c>
      <c r="G17" s="21">
        <f>('FREEVAL INPUT 2017 Hourly'!F17)*(1+$B$4)^($B$1-'FREEVAL INPUT 2017 Hourly'!$A$1)</f>
        <v>2145.6500336988756</v>
      </c>
      <c r="H17" s="21">
        <f>('FREEVAL INPUT 2017 Hourly'!G17)*(1+$B$4)^($B$1-'FREEVAL INPUT 2017 Hourly'!$A$1)</f>
        <v>601.1657322435002</v>
      </c>
      <c r="I17" s="21">
        <f>('FREEVAL INPUT 2017 Hourly'!H17)*(1+$B$4)^($B$1-'FREEVAL INPUT 2017 Hourly'!$A$1)</f>
        <v>1544.4843014553753</v>
      </c>
      <c r="J17" s="21">
        <f>('FREEVAL INPUT 2017 Hourly'!I17)*(1+$B$4)^($B$1-'FREEVAL INPUT 2017 Hourly'!$A$1)</f>
        <v>114.05094565612504</v>
      </c>
      <c r="K17" s="21">
        <f>('FREEVAL INPUT 2017 Hourly'!J17)*(1+$B$4)^($B$1-'FREEVAL INPUT 2017 Hourly'!$A$1)</f>
        <v>1658.5352471115004</v>
      </c>
      <c r="L17" s="21">
        <f>('FREEVAL INPUT 2017 Hourly'!K17)*(1+$B$4)^($B$1-'FREEVAL INPUT 2017 Hourly'!$A$1)</f>
        <v>692.83284744375021</v>
      </c>
      <c r="M17" s="21">
        <f>('FREEVAL INPUT 2017 Hourly'!L17)*(1+$B$4)^($B$1-'FREEVAL INPUT 2017 Hourly'!$A$1)</f>
        <v>965.70239966775023</v>
      </c>
      <c r="N17" s="21">
        <f>('FREEVAL INPUT 2017 Hourly'!M17)*(1+$B$4)^($B$1-'FREEVAL INPUT 2017 Hourly'!$A$1)</f>
        <v>213.17933767500006</v>
      </c>
      <c r="O17" s="21">
        <f>('FREEVAL INPUT 2017 Hourly'!N17)*(1+$B$4)^($B$1-'FREEVAL INPUT 2017 Hourly'!$A$1)</f>
        <v>1178.8817373427503</v>
      </c>
      <c r="P17" s="21">
        <f>('FREEVAL INPUT 2017 Hourly'!O17)*(1+$B$4)^($B$1-'FREEVAL INPUT 2017 Hourly'!$A$1)</f>
        <v>52.228937730375016</v>
      </c>
      <c r="Q17" s="21">
        <f>('FREEVAL INPUT 2017 Hourly'!P17)*(1+$B$4)^($B$1-'FREEVAL INPUT 2017 Hourly'!$A$1)</f>
        <v>1126.6527996123752</v>
      </c>
      <c r="R17" s="21">
        <f>('FREEVAL INPUT 2017 Hourly'!Q17)*(1+$B$4)^($B$1-'FREEVAL INPUT 2017 Hourly'!$A$1)</f>
        <v>65.019697990875017</v>
      </c>
      <c r="S17" s="21">
        <f>('FREEVAL INPUT 2017 Hourly'!R17)*(1+$B$4)^($B$1-'FREEVAL INPUT 2017 Hourly'!$A$1)</f>
        <v>1191.6724976032503</v>
      </c>
    </row>
    <row r="18" spans="1:19" x14ac:dyDescent="0.25">
      <c r="B18" s="38">
        <f t="shared" si="0"/>
        <v>12180.00145806113</v>
      </c>
      <c r="C18" s="20">
        <v>0.45833333333333298</v>
      </c>
      <c r="D18" s="89">
        <f>('FREEVAL INPUT 2017 Hourly'!C18)*(1+$B$4)^($B$1-'FREEVAL INPUT 2017 Hourly'!$A$1)</f>
        <v>2220.2628018851256</v>
      </c>
      <c r="E18" s="114">
        <f>('FREEVAL INPUT 2017 Hourly'!D18)*(1+$B$4)^($B$1-'FREEVAL INPUT 2017 Hourly'!$A$1)</f>
        <v>88.469425135125022</v>
      </c>
      <c r="F18" s="89">
        <f>('FREEVAL INPUT 2017 Hourly'!F18)*(1+$B$4)^($B$1-'FREEVAL INPUT 2017 Hourly'!$A$1)</f>
        <v>2308.7322270202508</v>
      </c>
      <c r="G18" s="21">
        <f>('FREEVAL INPUT 2017 Hourly'!F18)*(1+$B$4)^($B$1-'FREEVAL INPUT 2017 Hourly'!$A$1)</f>
        <v>2308.7322270202508</v>
      </c>
      <c r="H18" s="21">
        <f>('FREEVAL INPUT 2017 Hourly'!G18)*(1+$B$4)^($B$1-'FREEVAL INPUT 2017 Hourly'!$A$1)</f>
        <v>729.07333484850017</v>
      </c>
      <c r="I18" s="21">
        <f>('FREEVAL INPUT 2017 Hourly'!H18)*(1+$B$4)^($B$1-'FREEVAL INPUT 2017 Hourly'!$A$1)</f>
        <v>1579.6588921717505</v>
      </c>
      <c r="J18" s="21">
        <f>('FREEVAL INPUT 2017 Hourly'!I18)*(1+$B$4)^($B$1-'FREEVAL INPUT 2017 Hourly'!$A$1)</f>
        <v>146.02784630737503</v>
      </c>
      <c r="K18" s="21">
        <f>('FREEVAL INPUT 2017 Hourly'!J18)*(1+$B$4)^($B$1-'FREEVAL INPUT 2017 Hourly'!$A$1)</f>
        <v>1725.6867384791256</v>
      </c>
      <c r="L18" s="21">
        <f>('FREEVAL INPUT 2017 Hourly'!K18)*(1+$B$4)^($B$1-'FREEVAL INPUT 2017 Hourly'!$A$1)</f>
        <v>787.69765270912524</v>
      </c>
      <c r="M18" s="21">
        <f>('FREEVAL INPUT 2017 Hourly'!L18)*(1+$B$4)^($B$1-'FREEVAL INPUT 2017 Hourly'!$A$1)</f>
        <v>937.9890857700002</v>
      </c>
      <c r="N18" s="21">
        <f>('FREEVAL INPUT 2017 Hourly'!M18)*(1+$B$4)^($B$1-'FREEVAL INPUT 2017 Hourly'!$A$1)</f>
        <v>261.14468865187507</v>
      </c>
      <c r="O18" s="21">
        <f>('FREEVAL INPUT 2017 Hourly'!N18)*(1+$B$4)^($B$1-'FREEVAL INPUT 2017 Hourly'!$A$1)</f>
        <v>1199.1337744218754</v>
      </c>
      <c r="P18" s="21">
        <f>('FREEVAL INPUT 2017 Hourly'!O18)*(1+$B$4)^($B$1-'FREEVAL INPUT 2017 Hourly'!$A$1)</f>
        <v>81.008148316500026</v>
      </c>
      <c r="Q18" s="21">
        <f>('FREEVAL INPUT 2017 Hourly'!P18)*(1+$B$4)^($B$1-'FREEVAL INPUT 2017 Hourly'!$A$1)</f>
        <v>1118.1256261053752</v>
      </c>
      <c r="R18" s="21">
        <f>('FREEVAL INPUT 2017 Hourly'!Q18)*(1+$B$4)^($B$1-'FREEVAL INPUT 2017 Hourly'!$A$1)</f>
        <v>93.79890857700002</v>
      </c>
      <c r="S18" s="21">
        <f>('FREEVAL INPUT 2017 Hourly'!R18)*(1+$B$4)^($B$1-'FREEVAL INPUT 2017 Hourly'!$A$1)</f>
        <v>1211.9245346823752</v>
      </c>
    </row>
    <row r="19" spans="1:19" x14ac:dyDescent="0.25">
      <c r="B19" s="38">
        <f t="shared" si="0"/>
        <v>13008.203184928503</v>
      </c>
      <c r="C19" s="20">
        <v>0.5</v>
      </c>
      <c r="D19" s="89">
        <f>('FREEVAL INPUT 2017 Hourly'!C19)*(1+$B$4)^($B$1-'FREEVAL INPUT 2017 Hourly'!$A$1)</f>
        <v>2365.2247515041258</v>
      </c>
      <c r="E19" s="114">
        <f>('FREEVAL INPUT 2017 Hourly'!D19)*(1+$B$4)^($B$1-'FREEVAL INPUT 2017 Hourly'!$A$1)</f>
        <v>91.667115200250024</v>
      </c>
      <c r="F19" s="89">
        <f>('FREEVAL INPUT 2017 Hourly'!F19)*(1+$B$4)^($B$1-'FREEVAL INPUT 2017 Hourly'!$A$1)</f>
        <v>2456.8918667043758</v>
      </c>
      <c r="G19" s="21">
        <f>('FREEVAL INPUT 2017 Hourly'!F19)*(1+$B$4)^($B$1-'FREEVAL INPUT 2017 Hourly'!$A$1)</f>
        <v>2456.8918667043758</v>
      </c>
      <c r="H19" s="21">
        <f>('FREEVAL INPUT 2017 Hourly'!G19)*(1+$B$4)^($B$1-'FREEVAL INPUT 2017 Hourly'!$A$1)</f>
        <v>743.99588848575024</v>
      </c>
      <c r="I19" s="21">
        <f>('FREEVAL INPUT 2017 Hourly'!H19)*(1+$B$4)^($B$1-'FREEVAL INPUT 2017 Hourly'!$A$1)</f>
        <v>1712.8959782186255</v>
      </c>
      <c r="J19" s="21">
        <f>('FREEVAL INPUT 2017 Hourly'!I19)*(1+$B$4)^($B$1-'FREEVAL INPUT 2017 Hourly'!$A$1)</f>
        <v>155.62091650275005</v>
      </c>
      <c r="K19" s="21">
        <f>('FREEVAL INPUT 2017 Hourly'!J19)*(1+$B$4)^($B$1-'FREEVAL INPUT 2017 Hourly'!$A$1)</f>
        <v>1868.5168947213756</v>
      </c>
      <c r="L19" s="21">
        <f>('FREEVAL INPUT 2017 Hourly'!K19)*(1+$B$4)^($B$1-'FREEVAL INPUT 2017 Hourly'!$A$1)</f>
        <v>911.34166856062529</v>
      </c>
      <c r="M19" s="21">
        <f>('FREEVAL INPUT 2017 Hourly'!L19)*(1+$B$4)^($B$1-'FREEVAL INPUT 2017 Hourly'!$A$1)</f>
        <v>957.1752261607503</v>
      </c>
      <c r="N19" s="21">
        <f>('FREEVAL INPUT 2017 Hourly'!M19)*(1+$B$4)^($B$1-'FREEVAL INPUT 2017 Hourly'!$A$1)</f>
        <v>302.71465949850005</v>
      </c>
      <c r="O19" s="21">
        <f>('FREEVAL INPUT 2017 Hourly'!N19)*(1+$B$4)^($B$1-'FREEVAL INPUT 2017 Hourly'!$A$1)</f>
        <v>1259.8898856592502</v>
      </c>
      <c r="P19" s="21">
        <f>('FREEVAL INPUT 2017 Hourly'!O19)*(1+$B$4)^($B$1-'FREEVAL INPUT 2017 Hourly'!$A$1)</f>
        <v>78.876354939750016</v>
      </c>
      <c r="Q19" s="21">
        <f>('FREEVAL INPUT 2017 Hourly'!P19)*(1+$B$4)^($B$1-'FREEVAL INPUT 2017 Hourly'!$A$1)</f>
        <v>1181.0135307195003</v>
      </c>
      <c r="R19" s="21">
        <f>('FREEVAL INPUT 2017 Hourly'!Q19)*(1+$B$4)^($B$1-'FREEVAL INPUT 2017 Hourly'!$A$1)</f>
        <v>99.128392018875033</v>
      </c>
      <c r="S19" s="21">
        <f>('FREEVAL INPUT 2017 Hourly'!R19)*(1+$B$4)^($B$1-'FREEVAL INPUT 2017 Hourly'!$A$1)</f>
        <v>1280.1419227383753</v>
      </c>
    </row>
    <row r="20" spans="1:19" x14ac:dyDescent="0.25">
      <c r="B20" s="38">
        <f t="shared" si="0"/>
        <v>13923.808440242628</v>
      </c>
      <c r="C20" s="20">
        <v>0.54166666666666596</v>
      </c>
      <c r="D20" s="89">
        <f>('FREEVAL INPUT 2017 Hourly'!C20)*(1+$B$4)^($B$1-'FREEVAL INPUT 2017 Hourly'!$A$1)</f>
        <v>2493.1323541091256</v>
      </c>
      <c r="E20" s="114">
        <f>('FREEVAL INPUT 2017 Hourly'!D20)*(1+$B$4)^($B$1-'FREEVAL INPUT 2017 Hourly'!$A$1)</f>
        <v>93.79890857700002</v>
      </c>
      <c r="F20" s="89">
        <f>('FREEVAL INPUT 2017 Hourly'!F20)*(1+$B$4)^($B$1-'FREEVAL INPUT 2017 Hourly'!$A$1)</f>
        <v>2586.9312626861256</v>
      </c>
      <c r="G20" s="21">
        <f>('FREEVAL INPUT 2017 Hourly'!F20)*(1+$B$4)^($B$1-'FREEVAL INPUT 2017 Hourly'!$A$1)</f>
        <v>2586.9312626861256</v>
      </c>
      <c r="H20" s="21">
        <f>('FREEVAL INPUT 2017 Hourly'!G20)*(1+$B$4)^($B$1-'FREEVAL INPUT 2017 Hourly'!$A$1)</f>
        <v>787.69765270912524</v>
      </c>
      <c r="I20" s="21">
        <f>('FREEVAL INPUT 2017 Hourly'!H20)*(1+$B$4)^($B$1-'FREEVAL INPUT 2017 Hourly'!$A$1)</f>
        <v>1799.2336099770005</v>
      </c>
      <c r="J20" s="21">
        <f>('FREEVAL INPUT 2017 Hourly'!I20)*(1+$B$4)^($B$1-'FREEVAL INPUT 2017 Hourly'!$A$1)</f>
        <v>180.13654033537506</v>
      </c>
      <c r="K20" s="21">
        <f>('FREEVAL INPUT 2017 Hourly'!J20)*(1+$B$4)^($B$1-'FREEVAL INPUT 2017 Hourly'!$A$1)</f>
        <v>1979.3701503123755</v>
      </c>
      <c r="L20" s="21">
        <f>('FREEVAL INPUT 2017 Hourly'!K20)*(1+$B$4)^($B$1-'FREEVAL INPUT 2017 Hourly'!$A$1)</f>
        <v>909.20987518387528</v>
      </c>
      <c r="M20" s="21">
        <f>('FREEVAL INPUT 2017 Hourly'!L20)*(1+$B$4)^($B$1-'FREEVAL INPUT 2017 Hourly'!$A$1)</f>
        <v>1070.1602751285002</v>
      </c>
      <c r="N20" s="21">
        <f>('FREEVAL INPUT 2017 Hourly'!M20)*(1+$B$4)^($B$1-'FREEVAL INPUT 2017 Hourly'!$A$1)</f>
        <v>317.63721313575007</v>
      </c>
      <c r="O20" s="21">
        <f>('FREEVAL INPUT 2017 Hourly'!N20)*(1+$B$4)^($B$1-'FREEVAL INPUT 2017 Hourly'!$A$1)</f>
        <v>1387.7974882642504</v>
      </c>
      <c r="P20" s="21">
        <f>('FREEVAL INPUT 2017 Hourly'!O20)*(1+$B$4)^($B$1-'FREEVAL INPUT 2017 Hourly'!$A$1)</f>
        <v>89.535321823500027</v>
      </c>
      <c r="Q20" s="21">
        <f>('FREEVAL INPUT 2017 Hourly'!P20)*(1+$B$4)^($B$1-'FREEVAL INPUT 2017 Hourly'!$A$1)</f>
        <v>1298.2621664407504</v>
      </c>
      <c r="R20" s="21">
        <f>('FREEVAL INPUT 2017 Hourly'!Q20)*(1+$B$4)^($B$1-'FREEVAL INPUT 2017 Hourly'!$A$1)</f>
        <v>109.78735890262503</v>
      </c>
      <c r="S20" s="21">
        <f>('FREEVAL INPUT 2017 Hourly'!R20)*(1+$B$4)^($B$1-'FREEVAL INPUT 2017 Hourly'!$A$1)</f>
        <v>1408.0495253433753</v>
      </c>
    </row>
    <row r="21" spans="1:19" x14ac:dyDescent="0.25">
      <c r="B21" s="38">
        <f t="shared" si="0"/>
        <v>16036.415676601882</v>
      </c>
      <c r="C21" s="20">
        <v>0.58333333333333304</v>
      </c>
      <c r="D21" s="89">
        <f>('FREEVAL INPUT 2017 Hourly'!C21)*(1+$B$4)^($B$1-'FREEVAL INPUT 2017 Hourly'!$A$1)</f>
        <v>2931.2158930312507</v>
      </c>
      <c r="E21" s="114">
        <f>('FREEVAL INPUT 2017 Hourly'!D21)*(1+$B$4)^($B$1-'FREEVAL INPUT 2017 Hourly'!$A$1)</f>
        <v>98.062495330500028</v>
      </c>
      <c r="F21" s="89">
        <f>('FREEVAL INPUT 2017 Hourly'!F21)*(1+$B$4)^($B$1-'FREEVAL INPUT 2017 Hourly'!$A$1)</f>
        <v>3029.2783883617508</v>
      </c>
      <c r="G21" s="21">
        <f>('FREEVAL INPUT 2017 Hourly'!F21)*(1+$B$4)^($B$1-'FREEVAL INPUT 2017 Hourly'!$A$1)</f>
        <v>3029.2783883617508</v>
      </c>
      <c r="H21" s="21">
        <f>('FREEVAL INPUT 2017 Hourly'!G21)*(1+$B$4)^($B$1-'FREEVAL INPUT 2017 Hourly'!$A$1)</f>
        <v>926.26422219787526</v>
      </c>
      <c r="I21" s="21">
        <f>('FREEVAL INPUT 2017 Hourly'!H21)*(1+$B$4)^($B$1-'FREEVAL INPUT 2017 Hourly'!$A$1)</f>
        <v>2103.0141661638754</v>
      </c>
      <c r="J21" s="21">
        <f>('FREEVAL INPUT 2017 Hourly'!I21)*(1+$B$4)^($B$1-'FREEVAL INPUT 2017 Hourly'!$A$1)</f>
        <v>171.60936682837504</v>
      </c>
      <c r="K21" s="21">
        <f>('FREEVAL INPUT 2017 Hourly'!J21)*(1+$B$4)^($B$1-'FREEVAL INPUT 2017 Hourly'!$A$1)</f>
        <v>2274.6235329922506</v>
      </c>
      <c r="L21" s="21">
        <f>('FREEVAL INPUT 2017 Hourly'!K21)*(1+$B$4)^($B$1-'FREEVAL INPUT 2017 Hourly'!$A$1)</f>
        <v>1040.3151678540003</v>
      </c>
      <c r="M21" s="21">
        <f>('FREEVAL INPUT 2017 Hourly'!L21)*(1+$B$4)^($B$1-'FREEVAL INPUT 2017 Hourly'!$A$1)</f>
        <v>1234.3083651382503</v>
      </c>
      <c r="N21" s="21">
        <f>('FREEVAL INPUT 2017 Hourly'!M21)*(1+$B$4)^($B$1-'FREEVAL INPUT 2017 Hourly'!$A$1)</f>
        <v>345.3505270335001</v>
      </c>
      <c r="O21" s="21">
        <f>('FREEVAL INPUT 2017 Hourly'!N21)*(1+$B$4)^($B$1-'FREEVAL INPUT 2017 Hourly'!$A$1)</f>
        <v>1579.6588921717505</v>
      </c>
      <c r="P21" s="21">
        <f>('FREEVAL INPUT 2017 Hourly'!O21)*(1+$B$4)^($B$1-'FREEVAL INPUT 2017 Hourly'!$A$1)</f>
        <v>91.667115200250024</v>
      </c>
      <c r="Q21" s="21">
        <f>('FREEVAL INPUT 2017 Hourly'!P21)*(1+$B$4)^($B$1-'FREEVAL INPUT 2017 Hourly'!$A$1)</f>
        <v>1487.9917769715005</v>
      </c>
      <c r="R21" s="21">
        <f>('FREEVAL INPUT 2017 Hourly'!Q21)*(1+$B$4)^($B$1-'FREEVAL INPUT 2017 Hourly'!$A$1)</f>
        <v>132.17118935850004</v>
      </c>
      <c r="S21" s="21">
        <f>('FREEVAL INPUT 2017 Hourly'!R21)*(1+$B$4)^($B$1-'FREEVAL INPUT 2017 Hourly'!$A$1)</f>
        <v>1620.1629663300005</v>
      </c>
    </row>
    <row r="22" spans="1:19" x14ac:dyDescent="0.25">
      <c r="B22" s="38">
        <f t="shared" si="0"/>
        <v>22001.173544748381</v>
      </c>
      <c r="C22" s="20">
        <v>0.625</v>
      </c>
      <c r="D22" s="89">
        <f>('FREEVAL INPUT 2017 Hourly'!C22)*(1+$B$4)^($B$1-'FREEVAL INPUT 2017 Hourly'!$A$1)</f>
        <v>4024.8258953040013</v>
      </c>
      <c r="E22" s="114">
        <f>('FREEVAL INPUT 2017 Hourly'!D22)*(1+$B$4)^($B$1-'FREEVAL INPUT 2017 Hourly'!$A$1)</f>
        <v>104.45787546075003</v>
      </c>
      <c r="F22" s="89">
        <f>('FREEVAL INPUT 2017 Hourly'!F22)*(1+$B$4)^($B$1-'FREEVAL INPUT 2017 Hourly'!$A$1)</f>
        <v>4129.2837707647514</v>
      </c>
      <c r="G22" s="21">
        <f>('FREEVAL INPUT 2017 Hourly'!F22)*(1+$B$4)^($B$1-'FREEVAL INPUT 2017 Hourly'!$A$1)</f>
        <v>4129.2837707647514</v>
      </c>
      <c r="H22" s="21">
        <f>('FREEVAL INPUT 2017 Hourly'!G22)*(1+$B$4)^($B$1-'FREEVAL INPUT 2017 Hourly'!$A$1)</f>
        <v>1145.8389400031253</v>
      </c>
      <c r="I22" s="21">
        <f>('FREEVAL INPUT 2017 Hourly'!H22)*(1+$B$4)^($B$1-'FREEVAL INPUT 2017 Hourly'!$A$1)</f>
        <v>2983.4448307616258</v>
      </c>
      <c r="J22" s="21">
        <f>('FREEVAL INPUT 2017 Hourly'!I22)*(1+$B$4)^($B$1-'FREEVAL INPUT 2017 Hourly'!$A$1)</f>
        <v>188.66371384237505</v>
      </c>
      <c r="K22" s="21">
        <f>('FREEVAL INPUT 2017 Hourly'!J22)*(1+$B$4)^($B$1-'FREEVAL INPUT 2017 Hourly'!$A$1)</f>
        <v>3172.1085446040011</v>
      </c>
      <c r="L22" s="21">
        <f>('FREEVAL INPUT 2017 Hourly'!K22)*(1+$B$4)^($B$1-'FREEVAL INPUT 2017 Hourly'!$A$1)</f>
        <v>1295.0644763756254</v>
      </c>
      <c r="M22" s="21">
        <f>('FREEVAL INPUT 2017 Hourly'!L22)*(1+$B$4)^($B$1-'FREEVAL INPUT 2017 Hourly'!$A$1)</f>
        <v>1877.0440682283754</v>
      </c>
      <c r="N22" s="21">
        <f>('FREEVAL INPUT 2017 Hourly'!M22)*(1+$B$4)^($B$1-'FREEVAL INPUT 2017 Hourly'!$A$1)</f>
        <v>349.61411378700012</v>
      </c>
      <c r="O22" s="21">
        <f>('FREEVAL INPUT 2017 Hourly'!N22)*(1+$B$4)^($B$1-'FREEVAL INPUT 2017 Hourly'!$A$1)</f>
        <v>2226.6581820153756</v>
      </c>
      <c r="P22" s="21">
        <f>('FREEVAL INPUT 2017 Hourly'!O22)*(1+$B$4)^($B$1-'FREEVAL INPUT 2017 Hourly'!$A$1)</f>
        <v>163.08219332137506</v>
      </c>
      <c r="Q22" s="21">
        <f>('FREEVAL INPUT 2017 Hourly'!P22)*(1+$B$4)^($B$1-'FREEVAL INPUT 2017 Hourly'!$A$1)</f>
        <v>2063.5759886940004</v>
      </c>
      <c r="R22" s="21">
        <f>('FREEVAL INPUT 2017 Hourly'!Q22)*(1+$B$4)^($B$1-'FREEVAL INPUT 2017 Hourly'!$A$1)</f>
        <v>171.60936682837504</v>
      </c>
      <c r="S22" s="21">
        <f>('FREEVAL INPUT 2017 Hourly'!R22)*(1+$B$4)^($B$1-'FREEVAL INPUT 2017 Hourly'!$A$1)</f>
        <v>2235.1853555223756</v>
      </c>
    </row>
    <row r="23" spans="1:19" s="51" customFormat="1" x14ac:dyDescent="0.25">
      <c r="A23" s="102" t="s">
        <v>242</v>
      </c>
      <c r="B23" s="39">
        <f t="shared" si="0"/>
        <v>23439.418741363377</v>
      </c>
      <c r="C23" s="40">
        <v>0.66666666666666596</v>
      </c>
      <c r="D23" s="91">
        <v>4055</v>
      </c>
      <c r="E23" s="91">
        <v>107</v>
      </c>
      <c r="F23" s="91">
        <f>('FREEVAL INPUT 2017 Hourly'!F23)*(1+$B$4)^($B$1-'FREEVAL INPUT 2017 Hourly'!$A$1)</f>
        <v>4162.3265681043758</v>
      </c>
      <c r="G23" s="44">
        <f>('FREEVAL INPUT 2017 Hourly'!F23)*(1+$B$4)^($B$1-'FREEVAL INPUT 2017 Hourly'!$A$1)</f>
        <v>4162.3265681043758</v>
      </c>
      <c r="H23" s="44">
        <f>('FREEVAL INPUT 2017 Hourly'!G23)*(1+$B$4)^($B$1-'FREEVAL INPUT 2017 Hourly'!$A$1)</f>
        <v>1129.8504896775003</v>
      </c>
      <c r="I23" s="44">
        <f>('FREEVAL INPUT 2017 Hourly'!H23)*(1+$B$4)^($B$1-'FREEVAL INPUT 2017 Hourly'!$A$1)</f>
        <v>3032.476078426876</v>
      </c>
      <c r="J23" s="44">
        <v>339</v>
      </c>
      <c r="K23" s="44">
        <v>3371</v>
      </c>
      <c r="L23" s="44">
        <v>1332</v>
      </c>
      <c r="M23" s="44">
        <v>2039</v>
      </c>
      <c r="N23" s="44">
        <f>('FREEVAL INPUT 2017 Hourly'!M23)*(1+$B$4)^($B$1-'FREEVAL INPUT 2017 Hourly'!$A$1)</f>
        <v>416.76560515462512</v>
      </c>
      <c r="O23" s="44">
        <v>2456</v>
      </c>
      <c r="P23" s="44">
        <v>263</v>
      </c>
      <c r="Q23" s="44">
        <v>2193</v>
      </c>
      <c r="R23" s="44">
        <v>256</v>
      </c>
      <c r="S23" s="44">
        <v>2449</v>
      </c>
    </row>
    <row r="24" spans="1:19" x14ac:dyDescent="0.25">
      <c r="B24" s="38">
        <f t="shared" si="0"/>
        <v>21994.778164618128</v>
      </c>
      <c r="C24" s="20">
        <v>0.70833333333333304</v>
      </c>
      <c r="D24" s="89">
        <f>('FREEVAL INPUT 2017 Hourly'!C24)*(1+$B$4)^($B$1-'FREEVAL INPUT 2017 Hourly'!$A$1)</f>
        <v>4026.9576886807513</v>
      </c>
      <c r="E24" s="114">
        <f>('FREEVAL INPUT 2017 Hourly'!D24)*(1+$B$4)^($B$1-'FREEVAL INPUT 2017 Hourly'!$A$1)</f>
        <v>111.91915227937503</v>
      </c>
      <c r="F24" s="89">
        <f>('FREEVAL INPUT 2017 Hourly'!F24)*(1+$B$4)^($B$1-'FREEVAL INPUT 2017 Hourly'!$A$1)</f>
        <v>4138.8768409601262</v>
      </c>
      <c r="G24" s="21">
        <f>('FREEVAL INPUT 2017 Hourly'!F24)*(1+$B$4)^($B$1-'FREEVAL INPUT 2017 Hourly'!$A$1)</f>
        <v>4138.8768409601262</v>
      </c>
      <c r="H24" s="21">
        <f>('FREEVAL INPUT 2017 Hourly'!G24)*(1+$B$4)^($B$1-'FREEVAL INPUT 2017 Hourly'!$A$1)</f>
        <v>1178.8817373427503</v>
      </c>
      <c r="I24" s="21">
        <f>('FREEVAL INPUT 2017 Hourly'!H24)*(1+$B$4)^($B$1-'FREEVAL INPUT 2017 Hourly'!$A$1)</f>
        <v>2959.9951036173757</v>
      </c>
      <c r="J24" s="21">
        <f>('FREEVAL INPUT 2017 Hourly'!I24)*(1+$B$4)^($B$1-'FREEVAL INPUT 2017 Hourly'!$A$1)</f>
        <v>255.81520521000007</v>
      </c>
      <c r="K24" s="21">
        <f>('FREEVAL INPUT 2017 Hourly'!J24)*(1+$B$4)^($B$1-'FREEVAL INPUT 2017 Hourly'!$A$1)</f>
        <v>3215.810308827376</v>
      </c>
      <c r="L24" s="21">
        <f>('FREEVAL INPUT 2017 Hourly'!K24)*(1+$B$4)^($B$1-'FREEVAL INPUT 2017 Hourly'!$A$1)</f>
        <v>1465.6079465156254</v>
      </c>
      <c r="M24" s="21">
        <f>('FREEVAL INPUT 2017 Hourly'!L24)*(1+$B$4)^($B$1-'FREEVAL INPUT 2017 Hourly'!$A$1)</f>
        <v>1750.2023623117504</v>
      </c>
      <c r="N24" s="21">
        <f>('FREEVAL INPUT 2017 Hourly'!M24)*(1+$B$4)^($B$1-'FREEVAL INPUT 2017 Hourly'!$A$1)</f>
        <v>401.8430515173751</v>
      </c>
      <c r="O24" s="21">
        <f>('FREEVAL INPUT 2017 Hourly'!N24)*(1+$B$4)^($B$1-'FREEVAL INPUT 2017 Hourly'!$A$1)</f>
        <v>2152.0454138291257</v>
      </c>
      <c r="P24" s="21">
        <f>('FREEVAL INPUT 2017 Hourly'!O24)*(1+$B$4)^($B$1-'FREEVAL INPUT 2017 Hourly'!$A$1)</f>
        <v>261.14468865187507</v>
      </c>
      <c r="Q24" s="21">
        <f>('FREEVAL INPUT 2017 Hourly'!P24)*(1+$B$4)^($B$1-'FREEVAL INPUT 2017 Hourly'!$A$1)</f>
        <v>1890.9007251772505</v>
      </c>
      <c r="R24" s="21">
        <f>('FREEVAL INPUT 2017 Hourly'!Q24)*(1+$B$4)^($B$1-'FREEVAL INPUT 2017 Hourly'!$A$1)</f>
        <v>216.37702774012507</v>
      </c>
      <c r="S24" s="21">
        <f>('FREEVAL INPUT 2017 Hourly'!R24)*(1+$B$4)^($B$1-'FREEVAL INPUT 2017 Hourly'!$A$1)</f>
        <v>2107.2777529173754</v>
      </c>
    </row>
    <row r="25" spans="1:19" x14ac:dyDescent="0.25">
      <c r="B25" s="38">
        <f t="shared" si="0"/>
        <v>17041.556253739502</v>
      </c>
      <c r="C25" s="20">
        <v>0.75</v>
      </c>
      <c r="D25" s="89">
        <f>('FREEVAL INPUT 2017 Hourly'!C25)*(1+$B$4)^($B$1-'FREEVAL INPUT 2017 Hourly'!$A$1)</f>
        <v>3125.2090903155008</v>
      </c>
      <c r="E25" s="114">
        <f>('FREEVAL INPUT 2017 Hourly'!D25)*(1+$B$4)^($B$1-'FREEVAL INPUT 2017 Hourly'!$A$1)</f>
        <v>100.19428870725002</v>
      </c>
      <c r="F25" s="89">
        <f>('FREEVAL INPUT 2017 Hourly'!F25)*(1+$B$4)^($B$1-'FREEVAL INPUT 2017 Hourly'!$A$1)</f>
        <v>3225.4033790227509</v>
      </c>
      <c r="G25" s="21">
        <f>('FREEVAL INPUT 2017 Hourly'!F25)*(1+$B$4)^($B$1-'FREEVAL INPUT 2017 Hourly'!$A$1)</f>
        <v>3225.4033790227509</v>
      </c>
      <c r="H25" s="21">
        <f>('FREEVAL INPUT 2017 Hourly'!G25)*(1+$B$4)^($B$1-'FREEVAL INPUT 2017 Hourly'!$A$1)</f>
        <v>899.61680498850023</v>
      </c>
      <c r="I25" s="21">
        <f>('FREEVAL INPUT 2017 Hourly'!H25)*(1+$B$4)^($B$1-'FREEVAL INPUT 2017 Hourly'!$A$1)</f>
        <v>2325.7865740342504</v>
      </c>
      <c r="J25" s="21">
        <f>('FREEVAL INPUT 2017 Hourly'!I25)*(1+$B$4)^($B$1-'FREEVAL INPUT 2017 Hourly'!$A$1)</f>
        <v>162.01629663300005</v>
      </c>
      <c r="K25" s="21">
        <f>('FREEVAL INPUT 2017 Hourly'!J25)*(1+$B$4)^($B$1-'FREEVAL INPUT 2017 Hourly'!$A$1)</f>
        <v>2487.8028706672508</v>
      </c>
      <c r="L25" s="21">
        <f>('FREEVAL INPUT 2017 Hourly'!K25)*(1+$B$4)^($B$1-'FREEVAL INPUT 2017 Hourly'!$A$1)</f>
        <v>1150.1025267566254</v>
      </c>
      <c r="M25" s="21">
        <f>('FREEVAL INPUT 2017 Hourly'!L25)*(1+$B$4)^($B$1-'FREEVAL INPUT 2017 Hourly'!$A$1)</f>
        <v>1337.7003439106254</v>
      </c>
      <c r="N25" s="21">
        <f>('FREEVAL INPUT 2017 Hourly'!M25)*(1+$B$4)^($B$1-'FREEVAL INPUT 2017 Hourly'!$A$1)</f>
        <v>331.49387008462509</v>
      </c>
      <c r="O25" s="21">
        <f>('FREEVAL INPUT 2017 Hourly'!N25)*(1+$B$4)^($B$1-'FREEVAL INPUT 2017 Hourly'!$A$1)</f>
        <v>1669.1942139952505</v>
      </c>
      <c r="P25" s="21">
        <f>('FREEVAL INPUT 2017 Hourly'!O25)*(1+$B$4)^($B$1-'FREEVAL INPUT 2017 Hourly'!$A$1)</f>
        <v>160.95039994462505</v>
      </c>
      <c r="Q25" s="21">
        <f>('FREEVAL INPUT 2017 Hourly'!P25)*(1+$B$4)^($B$1-'FREEVAL INPUT 2017 Hourly'!$A$1)</f>
        <v>1508.2438140506254</v>
      </c>
      <c r="R25" s="21">
        <f>('FREEVAL INPUT 2017 Hourly'!Q25)*(1+$B$4)^($B$1-'FREEVAL INPUT 2017 Hourly'!$A$1)</f>
        <v>137.50067280037504</v>
      </c>
      <c r="S25" s="21">
        <f>('FREEVAL INPUT 2017 Hourly'!R25)*(1+$B$4)^($B$1-'FREEVAL INPUT 2017 Hourly'!$A$1)</f>
        <v>1645.7444868510004</v>
      </c>
    </row>
    <row r="26" spans="1:19" x14ac:dyDescent="0.25">
      <c r="B26" s="38">
        <f t="shared" si="0"/>
        <v>11340.074867621628</v>
      </c>
      <c r="C26" s="20">
        <v>0.79166666666666596</v>
      </c>
      <c r="D26" s="89">
        <f>('FREEVAL INPUT 2017 Hourly'!C26)*(1+$B$4)^($B$1-'FREEVAL INPUT 2017 Hourly'!$A$1)</f>
        <v>2078.4985423312505</v>
      </c>
      <c r="E26" s="114">
        <f>('FREEVAL INPUT 2017 Hourly'!D26)*(1+$B$4)^($B$1-'FREEVAL INPUT 2017 Hourly'!$A$1)</f>
        <v>77.810458251375024</v>
      </c>
      <c r="F26" s="89">
        <f>('FREEVAL INPUT 2017 Hourly'!F26)*(1+$B$4)^($B$1-'FREEVAL INPUT 2017 Hourly'!$A$1)</f>
        <v>2156.3090005826257</v>
      </c>
      <c r="G26" s="21">
        <f>('FREEVAL INPUT 2017 Hourly'!F26)*(1+$B$4)^($B$1-'FREEVAL INPUT 2017 Hourly'!$A$1)</f>
        <v>2156.3090005826257</v>
      </c>
      <c r="H26" s="21">
        <f>('FREEVAL INPUT 2017 Hourly'!G26)*(1+$B$4)^($B$1-'FREEVAL INPUT 2017 Hourly'!$A$1)</f>
        <v>721.61205802987524</v>
      </c>
      <c r="I26" s="21">
        <f>('FREEVAL INPUT 2017 Hourly'!H26)*(1+$B$4)^($B$1-'FREEVAL INPUT 2017 Hourly'!$A$1)</f>
        <v>1434.6969425527504</v>
      </c>
      <c r="J26" s="21">
        <f>('FREEVAL INPUT 2017 Hourly'!I26)*(1+$B$4)^($B$1-'FREEVAL INPUT 2017 Hourly'!$A$1)</f>
        <v>151.35732974925003</v>
      </c>
      <c r="K26" s="21">
        <f>('FREEVAL INPUT 2017 Hourly'!J26)*(1+$B$4)^($B$1-'FREEVAL INPUT 2017 Hourly'!$A$1)</f>
        <v>1586.0542723020005</v>
      </c>
      <c r="L26" s="21">
        <f>('FREEVAL INPUT 2017 Hourly'!K26)*(1+$B$4)^($B$1-'FREEVAL INPUT 2017 Hourly'!$A$1)</f>
        <v>766.37971894162524</v>
      </c>
      <c r="M26" s="21">
        <f>('FREEVAL INPUT 2017 Hourly'!L26)*(1+$B$4)^($B$1-'FREEVAL INPUT 2017 Hourly'!$A$1)</f>
        <v>819.67455336037517</v>
      </c>
      <c r="N26" s="21">
        <f>('FREEVAL INPUT 2017 Hourly'!M26)*(1+$B$4)^($B$1-'FREEVAL INPUT 2017 Hourly'!$A$1)</f>
        <v>281.39672573100006</v>
      </c>
      <c r="O26" s="21">
        <f>('FREEVAL INPUT 2017 Hourly'!N26)*(1+$B$4)^($B$1-'FREEVAL INPUT 2017 Hourly'!$A$1)</f>
        <v>1101.0712790913753</v>
      </c>
      <c r="P26" s="21">
        <f>('FREEVAL INPUT 2017 Hourly'!O26)*(1+$B$4)^($B$1-'FREEVAL INPUT 2017 Hourly'!$A$1)</f>
        <v>106.58966883750003</v>
      </c>
      <c r="Q26" s="21">
        <f>('FREEVAL INPUT 2017 Hourly'!P26)*(1+$B$4)^($B$1-'FREEVAL INPUT 2017 Hourly'!$A$1)</f>
        <v>994.48161025387526</v>
      </c>
      <c r="R26" s="21">
        <f>('FREEVAL INPUT 2017 Hourly'!Q26)*(1+$B$4)^($B$1-'FREEVAL INPUT 2017 Hourly'!$A$1)</f>
        <v>112.98504896775003</v>
      </c>
      <c r="S26" s="21">
        <f>('FREEVAL INPUT 2017 Hourly'!R26)*(1+$B$4)^($B$1-'FREEVAL INPUT 2017 Hourly'!$A$1)</f>
        <v>1107.4666592216254</v>
      </c>
    </row>
    <row r="27" spans="1:19" x14ac:dyDescent="0.25">
      <c r="B27" s="38">
        <f t="shared" si="0"/>
        <v>8769.1320552611269</v>
      </c>
      <c r="C27" s="20">
        <v>0.83333333333333304</v>
      </c>
      <c r="D27" s="89">
        <f>('FREEVAL INPUT 2017 Hourly'!C27)*(1+$B$4)^($B$1-'FREEVAL INPUT 2017 Hourly'!$A$1)</f>
        <v>1600.9768259392504</v>
      </c>
      <c r="E27" s="114">
        <f>('FREEVAL INPUT 2017 Hourly'!D27)*(1+$B$4)^($B$1-'FREEVAL INPUT 2017 Hourly'!$A$1)</f>
        <v>62.88790461412502</v>
      </c>
      <c r="F27" s="89">
        <f>('FREEVAL INPUT 2017 Hourly'!F27)*(1+$B$4)^($B$1-'FREEVAL INPUT 2017 Hourly'!$A$1)</f>
        <v>1663.8647305533755</v>
      </c>
      <c r="G27" s="21">
        <f>('FREEVAL INPUT 2017 Hourly'!F27)*(1+$B$4)^($B$1-'FREEVAL INPUT 2017 Hourly'!$A$1)</f>
        <v>1663.8647305533755</v>
      </c>
      <c r="H27" s="21">
        <f>('FREEVAL INPUT 2017 Hourly'!G27)*(1+$B$4)^($B$1-'FREEVAL INPUT 2017 Hourly'!$A$1)</f>
        <v>567.05703821550014</v>
      </c>
      <c r="I27" s="21">
        <f>('FREEVAL INPUT 2017 Hourly'!H27)*(1+$B$4)^($B$1-'FREEVAL INPUT 2017 Hourly'!$A$1)</f>
        <v>1096.8076923378753</v>
      </c>
      <c r="J27" s="21">
        <f>('FREEVAL INPUT 2017 Hourly'!I27)*(1+$B$4)^($B$1-'FREEVAL INPUT 2017 Hourly'!$A$1)</f>
        <v>134.30298273525003</v>
      </c>
      <c r="K27" s="21">
        <f>('FREEVAL INPUT 2017 Hourly'!J27)*(1+$B$4)^($B$1-'FREEVAL INPUT 2017 Hourly'!$A$1)</f>
        <v>1231.1106750731253</v>
      </c>
      <c r="L27" s="21">
        <f>('FREEVAL INPUT 2017 Hourly'!K27)*(1+$B$4)^($B$1-'FREEVAL INPUT 2017 Hourly'!$A$1)</f>
        <v>574.51831503412518</v>
      </c>
      <c r="M27" s="21">
        <f>('FREEVAL INPUT 2017 Hourly'!L27)*(1+$B$4)^($B$1-'FREEVAL INPUT 2017 Hourly'!$A$1)</f>
        <v>656.59236003900014</v>
      </c>
      <c r="N27" s="21">
        <f>('FREEVAL INPUT 2017 Hourly'!M27)*(1+$B$4)^($B$1-'FREEVAL INPUT 2017 Hourly'!$A$1)</f>
        <v>202.52037079125006</v>
      </c>
      <c r="O27" s="21">
        <f>('FREEVAL INPUT 2017 Hourly'!N27)*(1+$B$4)^($B$1-'FREEVAL INPUT 2017 Hourly'!$A$1)</f>
        <v>859.11273083025026</v>
      </c>
      <c r="P27" s="21">
        <f>('FREEVAL INPUT 2017 Hourly'!O27)*(1+$B$4)^($B$1-'FREEVAL INPUT 2017 Hourly'!$A$1)</f>
        <v>77.810458251375024</v>
      </c>
      <c r="Q27" s="21">
        <f>('FREEVAL INPUT 2017 Hourly'!P27)*(1+$B$4)^($B$1-'FREEVAL INPUT 2017 Hourly'!$A$1)</f>
        <v>781.3022725788752</v>
      </c>
      <c r="R27" s="21">
        <f>('FREEVAL INPUT 2017 Hourly'!Q27)*(1+$B$4)^($B$1-'FREEVAL INPUT 2017 Hourly'!$A$1)</f>
        <v>71.415078121125021</v>
      </c>
      <c r="S27" s="21">
        <f>('FREEVAL INPUT 2017 Hourly'!R27)*(1+$B$4)^($B$1-'FREEVAL INPUT 2017 Hourly'!$A$1)</f>
        <v>852.71735070000022</v>
      </c>
    </row>
    <row r="28" spans="1:19" x14ac:dyDescent="0.25">
      <c r="B28" s="38">
        <f t="shared" si="0"/>
        <v>6546.7374599992527</v>
      </c>
      <c r="C28" s="20">
        <v>0.875</v>
      </c>
      <c r="D28" s="89">
        <f>('FREEVAL INPUT 2017 Hourly'!C28)*(1+$B$4)^($B$1-'FREEVAL INPUT 2017 Hourly'!$A$1)</f>
        <v>1241.7696419568754</v>
      </c>
      <c r="E28" s="114">
        <f>('FREEVAL INPUT 2017 Hourly'!D28)*(1+$B$4)^($B$1-'FREEVAL INPUT 2017 Hourly'!$A$1)</f>
        <v>51.163041042000017</v>
      </c>
      <c r="F28" s="89">
        <f>('FREEVAL INPUT 2017 Hourly'!F28)*(1+$B$4)^($B$1-'FREEVAL INPUT 2017 Hourly'!$A$1)</f>
        <v>1292.9326829988754</v>
      </c>
      <c r="G28" s="21">
        <f>('FREEVAL INPUT 2017 Hourly'!F28)*(1+$B$4)^($B$1-'FREEVAL INPUT 2017 Hourly'!$A$1)</f>
        <v>1292.9326829988754</v>
      </c>
      <c r="H28" s="21">
        <f>('FREEVAL INPUT 2017 Hourly'!G28)*(1+$B$4)^($B$1-'FREEVAL INPUT 2017 Hourly'!$A$1)</f>
        <v>403.97484489412511</v>
      </c>
      <c r="I28" s="21">
        <f>('FREEVAL INPUT 2017 Hourly'!H28)*(1+$B$4)^($B$1-'FREEVAL INPUT 2017 Hourly'!$A$1)</f>
        <v>888.95783810475029</v>
      </c>
      <c r="J28" s="21">
        <f>('FREEVAL INPUT 2017 Hourly'!I28)*(1+$B$4)^($B$1-'FREEVAL INPUT 2017 Hourly'!$A$1)</f>
        <v>56.492524483875016</v>
      </c>
      <c r="K28" s="21">
        <f>('FREEVAL INPUT 2017 Hourly'!J28)*(1+$B$4)^($B$1-'FREEVAL INPUT 2017 Hourly'!$A$1)</f>
        <v>945.45036258862524</v>
      </c>
      <c r="L28" s="21">
        <f>('FREEVAL INPUT 2017 Hourly'!K28)*(1+$B$4)^($B$1-'FREEVAL INPUT 2017 Hourly'!$A$1)</f>
        <v>459.40147268962511</v>
      </c>
      <c r="M28" s="21">
        <f>('FREEVAL INPUT 2017 Hourly'!L28)*(1+$B$4)^($B$1-'FREEVAL INPUT 2017 Hourly'!$A$1)</f>
        <v>486.04888989900013</v>
      </c>
      <c r="N28" s="21">
        <f>('FREEVAL INPUT 2017 Hourly'!M28)*(1+$B$4)^($B$1-'FREEVAL INPUT 2017 Hourly'!$A$1)</f>
        <v>135.36887942362503</v>
      </c>
      <c r="O28" s="21">
        <f>('FREEVAL INPUT 2017 Hourly'!N28)*(1+$B$4)^($B$1-'FREEVAL INPUT 2017 Hourly'!$A$1)</f>
        <v>621.41776932262519</v>
      </c>
      <c r="P28" s="21">
        <f>('FREEVAL INPUT 2017 Hourly'!O28)*(1+$B$4)^($B$1-'FREEVAL INPUT 2017 Hourly'!$A$1)</f>
        <v>62.88790461412502</v>
      </c>
      <c r="Q28" s="21">
        <f>('FREEVAL INPUT 2017 Hourly'!P28)*(1+$B$4)^($B$1-'FREEVAL INPUT 2017 Hourly'!$A$1)</f>
        <v>558.5298647085001</v>
      </c>
      <c r="R28" s="21">
        <f>('FREEVAL INPUT 2017 Hourly'!Q28)*(1+$B$4)^($B$1-'FREEVAL INPUT 2017 Hourly'!$A$1)</f>
        <v>38.37228078150001</v>
      </c>
      <c r="S28" s="21">
        <f>('FREEVAL INPUT 2017 Hourly'!R28)*(1+$B$4)^($B$1-'FREEVAL INPUT 2017 Hourly'!$A$1)</f>
        <v>596.90214549000018</v>
      </c>
    </row>
    <row r="29" spans="1:19" x14ac:dyDescent="0.25">
      <c r="B29" s="38">
        <f t="shared" si="0"/>
        <v>4757.0969202176257</v>
      </c>
      <c r="C29" s="20">
        <v>0.91666666666666596</v>
      </c>
      <c r="D29" s="89">
        <f>('FREEVAL INPUT 2017 Hourly'!C29)*(1+$B$4)^($B$1-'FREEVAL INPUT 2017 Hourly'!$A$1)</f>
        <v>875.10118115587522</v>
      </c>
      <c r="E29" s="114">
        <f>('FREEVAL INPUT 2017 Hourly'!D29)*(1+$B$4)^($B$1-'FREEVAL INPUT 2017 Hourly'!$A$1)</f>
        <v>40.504074158250013</v>
      </c>
      <c r="F29" s="89">
        <f>('FREEVAL INPUT 2017 Hourly'!F29)*(1+$B$4)^($B$1-'FREEVAL INPUT 2017 Hourly'!$A$1)</f>
        <v>915.6052553141252</v>
      </c>
      <c r="G29" s="21">
        <f>('FREEVAL INPUT 2017 Hourly'!F29)*(1+$B$4)^($B$1-'FREEVAL INPUT 2017 Hourly'!$A$1)</f>
        <v>915.6052553141252</v>
      </c>
      <c r="H29" s="21">
        <f>('FREEVAL INPUT 2017 Hourly'!G29)*(1+$B$4)^($B$1-'FREEVAL INPUT 2017 Hourly'!$A$1)</f>
        <v>294.18748599150007</v>
      </c>
      <c r="I29" s="21">
        <f>('FREEVAL INPUT 2017 Hourly'!H29)*(1+$B$4)^($B$1-'FREEVAL INPUT 2017 Hourly'!$A$1)</f>
        <v>621.41776932262519</v>
      </c>
      <c r="J29" s="21">
        <f>('FREEVAL INPUT 2017 Hourly'!I29)*(1+$B$4)^($B$1-'FREEVAL INPUT 2017 Hourly'!$A$1)</f>
        <v>53.294834418750014</v>
      </c>
      <c r="K29" s="21">
        <f>('FREEVAL INPUT 2017 Hourly'!J29)*(1+$B$4)^($B$1-'FREEVAL INPUT 2017 Hourly'!$A$1)</f>
        <v>674.71260374137523</v>
      </c>
      <c r="L29" s="21">
        <f>('FREEVAL INPUT 2017 Hourly'!K29)*(1+$B$4)^($B$1-'FREEVAL INPUT 2017 Hourly'!$A$1)</f>
        <v>281.39672573100006</v>
      </c>
      <c r="M29" s="21">
        <f>('FREEVAL INPUT 2017 Hourly'!L29)*(1+$B$4)^($B$1-'FREEVAL INPUT 2017 Hourly'!$A$1)</f>
        <v>393.31587801037512</v>
      </c>
      <c r="N29" s="21">
        <f>('FREEVAL INPUT 2017 Hourly'!M29)*(1+$B$4)^($B$1-'FREEVAL INPUT 2017 Hourly'!$A$1)</f>
        <v>75.678664874625014</v>
      </c>
      <c r="O29" s="21">
        <f>('FREEVAL INPUT 2017 Hourly'!N29)*(1+$B$4)^($B$1-'FREEVAL INPUT 2017 Hourly'!$A$1)</f>
        <v>468.9945428850001</v>
      </c>
      <c r="P29" s="21">
        <f>('FREEVAL INPUT 2017 Hourly'!O29)*(1+$B$4)^($B$1-'FREEVAL INPUT 2017 Hourly'!$A$1)</f>
        <v>31.976900651250009</v>
      </c>
      <c r="Q29" s="21">
        <f>('FREEVAL INPUT 2017 Hourly'!P29)*(1+$B$4)^($B$1-'FREEVAL INPUT 2017 Hourly'!$A$1)</f>
        <v>437.01764223375011</v>
      </c>
      <c r="R29" s="21">
        <f>('FREEVAL INPUT 2017 Hourly'!Q29)*(1+$B$4)^($B$1-'FREEVAL INPUT 2017 Hourly'!$A$1)</f>
        <v>36.240487404750013</v>
      </c>
      <c r="S29" s="21">
        <f>('FREEVAL INPUT 2017 Hourly'!R29)*(1+$B$4)^($B$1-'FREEVAL INPUT 2017 Hourly'!$A$1)</f>
        <v>473.25812963850012</v>
      </c>
    </row>
    <row r="30" spans="1:19" x14ac:dyDescent="0.25">
      <c r="B30" s="38">
        <f t="shared" si="0"/>
        <v>3457.7688570885007</v>
      </c>
      <c r="C30" s="20">
        <v>0.95833333333333304</v>
      </c>
      <c r="D30" s="89">
        <f>('FREEVAL INPUT 2017 Hourly'!C30)*(1+$B$4)^($B$1-'FREEVAL INPUT 2017 Hourly'!$A$1)</f>
        <v>640.60390971337517</v>
      </c>
      <c r="E30" s="114">
        <f>('FREEVAL INPUT 2017 Hourly'!D30)*(1+$B$4)^($B$1-'FREEVAL INPUT 2017 Hourly'!$A$1)</f>
        <v>30.911003962875007</v>
      </c>
      <c r="F30" s="89">
        <f>('FREEVAL INPUT 2017 Hourly'!F30)*(1+$B$4)^($B$1-'FREEVAL INPUT 2017 Hourly'!$A$1)</f>
        <v>671.51491367625022</v>
      </c>
      <c r="G30" s="21">
        <f>('FREEVAL INPUT 2017 Hourly'!F30)*(1+$B$4)^($B$1-'FREEVAL INPUT 2017 Hourly'!$A$1)</f>
        <v>671.51491367625022</v>
      </c>
      <c r="H30" s="21">
        <f>('FREEVAL INPUT 2017 Hourly'!G30)*(1+$B$4)^($B$1-'FREEVAL INPUT 2017 Hourly'!$A$1)</f>
        <v>200.38857741450005</v>
      </c>
      <c r="I30" s="21">
        <f>('FREEVAL INPUT 2017 Hourly'!H30)*(1+$B$4)^($B$1-'FREEVAL INPUT 2017 Hourly'!$A$1)</f>
        <v>471.12633626175011</v>
      </c>
      <c r="J30" s="21">
        <f>('FREEVAL INPUT 2017 Hourly'!I30)*(1+$B$4)^($B$1-'FREEVAL INPUT 2017 Hourly'!$A$1)</f>
        <v>18.120243702375006</v>
      </c>
      <c r="K30" s="21">
        <f>('FREEVAL INPUT 2017 Hourly'!J30)*(1+$B$4)^($B$1-'FREEVAL INPUT 2017 Hourly'!$A$1)</f>
        <v>489.24657996412515</v>
      </c>
      <c r="L30" s="21">
        <f>('FREEVAL INPUT 2017 Hourly'!K30)*(1+$B$4)^($B$1-'FREEVAL INPUT 2017 Hourly'!$A$1)</f>
        <v>186.53192046562506</v>
      </c>
      <c r="M30" s="21">
        <f>('FREEVAL INPUT 2017 Hourly'!L30)*(1+$B$4)^($B$1-'FREEVAL INPUT 2017 Hourly'!$A$1)</f>
        <v>302.71465949850005</v>
      </c>
      <c r="N30" s="21">
        <f>('FREEVAL INPUT 2017 Hourly'!M30)*(1+$B$4)^($B$1-'FREEVAL INPUT 2017 Hourly'!$A$1)</f>
        <v>49.031247665250014</v>
      </c>
      <c r="O30" s="21">
        <f>('FREEVAL INPUT 2017 Hourly'!N30)*(1+$B$4)^($B$1-'FREEVAL INPUT 2017 Hourly'!$A$1)</f>
        <v>351.74590716375008</v>
      </c>
      <c r="P30" s="21">
        <f>('FREEVAL INPUT 2017 Hourly'!O30)*(1+$B$4)^($B$1-'FREEVAL INPUT 2017 Hourly'!$A$1)</f>
        <v>20.252037079125007</v>
      </c>
      <c r="Q30" s="21">
        <f>('FREEVAL INPUT 2017 Hourly'!P30)*(1+$B$4)^($B$1-'FREEVAL INPUT 2017 Hourly'!$A$1)</f>
        <v>331.49387008462509</v>
      </c>
      <c r="R30" s="21">
        <f>('FREEVAL INPUT 2017 Hourly'!Q30)*(1+$B$4)^($B$1-'FREEVAL INPUT 2017 Hourly'!$A$1)</f>
        <v>17.054347014000005</v>
      </c>
      <c r="S30" s="21">
        <f>('FREEVAL INPUT 2017 Hourly'!R30)*(1+$B$4)^($B$1-'FREEVAL INPUT 2017 Hourly'!$A$1)</f>
        <v>348.54821709862512</v>
      </c>
    </row>
    <row r="31" spans="1:19" x14ac:dyDescent="0.25">
      <c r="B31" s="167" t="s">
        <v>235</v>
      </c>
      <c r="C31" s="167"/>
      <c r="D31" s="167"/>
      <c r="E31" s="167"/>
      <c r="F31" s="167"/>
      <c r="G31" s="167"/>
      <c r="H31" s="167"/>
    </row>
    <row r="32" spans="1:19" x14ac:dyDescent="0.25">
      <c r="B32" s="83"/>
      <c r="C32" s="22" t="s">
        <v>255</v>
      </c>
      <c r="D32" s="103"/>
      <c r="E32" s="103"/>
      <c r="F32" s="103"/>
      <c r="G32" s="103"/>
      <c r="H32" s="103"/>
    </row>
    <row r="33" spans="1:18" s="81" customFormat="1" x14ac:dyDescent="0.25">
      <c r="A33" s="79"/>
      <c r="B33" s="95"/>
      <c r="C33" s="80" t="s">
        <v>257</v>
      </c>
      <c r="D33" s="80"/>
      <c r="E33" s="80"/>
      <c r="F33" s="80"/>
    </row>
    <row r="34" spans="1:18" x14ac:dyDescent="0.25">
      <c r="B34" t="s">
        <v>43</v>
      </c>
      <c r="C34" s="22"/>
      <c r="D34" s="17">
        <v>1</v>
      </c>
      <c r="E34" s="17">
        <v>2</v>
      </c>
      <c r="F34" s="17">
        <v>3</v>
      </c>
      <c r="G34" s="17">
        <v>4</v>
      </c>
      <c r="H34" s="17">
        <v>5</v>
      </c>
      <c r="I34" s="17">
        <v>6</v>
      </c>
      <c r="J34" s="17">
        <v>7</v>
      </c>
      <c r="K34" s="17">
        <v>8</v>
      </c>
      <c r="L34" s="17">
        <v>9</v>
      </c>
      <c r="M34" s="17">
        <v>10</v>
      </c>
      <c r="N34" s="17">
        <v>11</v>
      </c>
      <c r="O34" s="21">
        <v>12</v>
      </c>
      <c r="P34" s="17">
        <v>13</v>
      </c>
      <c r="Q34" s="21">
        <v>14</v>
      </c>
      <c r="R34" s="17">
        <v>15</v>
      </c>
    </row>
    <row r="35" spans="1:18" x14ac:dyDescent="0.25">
      <c r="C35" s="16" t="s">
        <v>203</v>
      </c>
      <c r="D35" s="17" t="s">
        <v>201</v>
      </c>
      <c r="E35" s="17" t="s">
        <v>198</v>
      </c>
      <c r="F35" s="17" t="s">
        <v>199</v>
      </c>
      <c r="G35" s="17" t="s">
        <v>200</v>
      </c>
      <c r="H35" s="17" t="s">
        <v>197</v>
      </c>
      <c r="I35" s="17" t="s">
        <v>194</v>
      </c>
      <c r="J35" s="17" t="s">
        <v>195</v>
      </c>
      <c r="K35" s="17" t="s">
        <v>196</v>
      </c>
      <c r="L35" s="17" t="s">
        <v>193</v>
      </c>
      <c r="M35" s="17" t="s">
        <v>190</v>
      </c>
      <c r="N35" s="17" t="s">
        <v>191</v>
      </c>
      <c r="O35" s="17" t="s">
        <v>192</v>
      </c>
      <c r="P35" s="17" t="s">
        <v>189</v>
      </c>
      <c r="Q35" s="101" t="s">
        <v>251</v>
      </c>
      <c r="R35" s="99" t="s">
        <v>252</v>
      </c>
    </row>
    <row r="36" spans="1:18" x14ac:dyDescent="0.25">
      <c r="C36" s="16" t="s">
        <v>6</v>
      </c>
      <c r="D36" s="17"/>
      <c r="E36" s="17" t="s">
        <v>32</v>
      </c>
      <c r="F36" s="17"/>
      <c r="G36" s="17" t="s">
        <v>28</v>
      </c>
      <c r="H36" s="17" t="s">
        <v>25</v>
      </c>
      <c r="I36" s="17" t="s">
        <v>22</v>
      </c>
      <c r="J36" s="17"/>
      <c r="K36" s="42" t="s">
        <v>18</v>
      </c>
      <c r="L36" s="17"/>
      <c r="M36" s="17" t="s">
        <v>14</v>
      </c>
      <c r="N36" s="17"/>
      <c r="O36" s="17" t="s">
        <v>10</v>
      </c>
      <c r="P36" s="17"/>
    </row>
    <row r="37" spans="1:18" x14ac:dyDescent="0.25">
      <c r="C37" s="16" t="s">
        <v>202</v>
      </c>
      <c r="D37" s="17" t="s">
        <v>40</v>
      </c>
      <c r="E37" s="17" t="s">
        <v>41</v>
      </c>
      <c r="F37" s="17" t="s">
        <v>40</v>
      </c>
      <c r="G37" s="17" t="s">
        <v>42</v>
      </c>
      <c r="H37" s="17" t="s">
        <v>40</v>
      </c>
      <c r="I37" s="17" t="s">
        <v>41</v>
      </c>
      <c r="J37" s="17" t="s">
        <v>40</v>
      </c>
      <c r="K37" s="17" t="s">
        <v>42</v>
      </c>
      <c r="L37" s="17" t="s">
        <v>40</v>
      </c>
      <c r="M37" s="17" t="s">
        <v>41</v>
      </c>
      <c r="N37" s="17" t="s">
        <v>40</v>
      </c>
      <c r="O37" s="17" t="s">
        <v>42</v>
      </c>
      <c r="P37" s="17" t="s">
        <v>40</v>
      </c>
      <c r="Q37" s="17" t="s">
        <v>41</v>
      </c>
      <c r="R37" s="17" t="s">
        <v>40</v>
      </c>
    </row>
    <row r="38" spans="1:18" x14ac:dyDescent="0.25"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5">
      <c r="B39" s="38">
        <f t="shared" ref="B39:B62" si="1">SUM(D39:P39)</f>
        <v>1642.5467967858756</v>
      </c>
      <c r="C39" s="20">
        <v>0</v>
      </c>
      <c r="D39" s="21">
        <f>('FREEVAL INPUT 2017 Hourly'!C38)*(1+$B$4)^($B$1-'FREEVAL INPUT 2017 Hourly'!$A$1)</f>
        <v>180.13654033537506</v>
      </c>
      <c r="E39" s="21">
        <f>('FREEVAL INPUT 2017 Hourly'!D38)*(1+$B$4)^($B$1-'FREEVAL INPUT 2017 Hourly'!$A$1)</f>
        <v>9.5930701953750024</v>
      </c>
      <c r="F39" s="21">
        <f>('FREEVAL INPUT 2017 Hourly'!E38)*(1+$B$4)^($B$1-'FREEVAL INPUT 2017 Hourly'!$A$1)</f>
        <v>170.54347014000004</v>
      </c>
      <c r="G39" s="21">
        <f>('FREEVAL INPUT 2017 Hourly'!F38)*(1+$B$4)^($B$1-'FREEVAL INPUT 2017 Hourly'!$A$1)</f>
        <v>3.1976900651250011</v>
      </c>
      <c r="H39" s="21">
        <f>('FREEVAL INPUT 2017 Hourly'!G38)*(1+$B$4)^($B$1-'FREEVAL INPUT 2017 Hourly'!$A$1)</f>
        <v>173.74116020512506</v>
      </c>
      <c r="I39" s="21">
        <f>('FREEVAL INPUT 2017 Hourly'!H38)*(1+$B$4)^($B$1-'FREEVAL INPUT 2017 Hourly'!$A$1)</f>
        <v>24.515623832625007</v>
      </c>
      <c r="J39" s="21">
        <f>('FREEVAL INPUT 2017 Hourly'!I38)*(1+$B$4)^($B$1-'FREEVAL INPUT 2017 Hourly'!$A$1)</f>
        <v>149.22553637250004</v>
      </c>
      <c r="K39" s="21">
        <f>('FREEVAL INPUT 2017 Hourly'!J38)*(1+$B$4)^($B$1-'FREEVAL INPUT 2017 Hourly'!$A$1)</f>
        <v>96.996598642125022</v>
      </c>
      <c r="L39" s="21">
        <f>('FREEVAL INPUT 2017 Hourly'!K38)*(1+$B$4)^($B$1-'FREEVAL INPUT 2017 Hourly'!$A$1)</f>
        <v>246.22213501462505</v>
      </c>
      <c r="M39" s="21">
        <f>('FREEVAL INPUT 2017 Hourly'!L38)*(1+$B$4)^($B$1-'FREEVAL INPUT 2017 Hourly'!$A$1)</f>
        <v>19.186140390750005</v>
      </c>
      <c r="N39" s="21">
        <f>('FREEVAL INPUT 2017 Hourly'!M38)*(1+$B$4)^($B$1-'FREEVAL INPUT 2017 Hourly'!$A$1)</f>
        <v>227.03599462387507</v>
      </c>
      <c r="O39" s="21">
        <f>('FREEVAL INPUT 2017 Hourly'!N38)*(1+$B$4)^($B$1-'FREEVAL INPUT 2017 Hourly'!$A$1)</f>
        <v>57.558421172250014</v>
      </c>
      <c r="P39" s="21">
        <f>('FREEVAL INPUT 2017 Hourly'!O38)*(1+$B$4)^($B$1-'FREEVAL INPUT 2017 Hourly'!$A$1)</f>
        <v>284.59441579612508</v>
      </c>
      <c r="Q39" s="115">
        <f>('FREEVAL INPUT 2017 Hourly'!P38)*(1+$B$4)^($B$1-'FREEVAL INPUT 2017 Hourly'!$A$1)</f>
        <v>18.120243702375006</v>
      </c>
      <c r="R39" s="37">
        <f>('FREEVAL INPUT 2017 Hourly'!Q38)*(1+$B$4)^($B$1-'FREEVAL INPUT 2017 Hourly'!$A$1)</f>
        <v>266.4741720937501</v>
      </c>
    </row>
    <row r="40" spans="1:18" x14ac:dyDescent="0.25">
      <c r="B40" s="38">
        <f t="shared" si="1"/>
        <v>1036.0515811005002</v>
      </c>
      <c r="C40" s="20">
        <v>4.1666666666666664E-2</v>
      </c>
      <c r="D40" s="21">
        <f>('FREEVAL INPUT 2017 Hourly'!C39)*(1+$B$4)^($B$1-'FREEVAL INPUT 2017 Hourly'!$A$1)</f>
        <v>107.65556552587503</v>
      </c>
      <c r="E40" s="21">
        <f>('FREEVAL INPUT 2017 Hourly'!D39)*(1+$B$4)^($B$1-'FREEVAL INPUT 2017 Hourly'!$A$1)</f>
        <v>9.5930701953750024</v>
      </c>
      <c r="F40" s="21">
        <f>('FREEVAL INPUT 2017 Hourly'!E39)*(1+$B$4)^($B$1-'FREEVAL INPUT 2017 Hourly'!$A$1)</f>
        <v>98.062495330500028</v>
      </c>
      <c r="G40" s="21">
        <f>('FREEVAL INPUT 2017 Hourly'!F39)*(1+$B$4)^($B$1-'FREEVAL INPUT 2017 Hourly'!$A$1)</f>
        <v>6.3953801302500022</v>
      </c>
      <c r="H40" s="21">
        <f>('FREEVAL INPUT 2017 Hourly'!G39)*(1+$B$4)^($B$1-'FREEVAL INPUT 2017 Hourly'!$A$1)</f>
        <v>104.45787546075003</v>
      </c>
      <c r="I40" s="21">
        <f>('FREEVAL INPUT 2017 Hourly'!H39)*(1+$B$4)^($B$1-'FREEVAL INPUT 2017 Hourly'!$A$1)</f>
        <v>12.790760260500004</v>
      </c>
      <c r="J40" s="21">
        <f>('FREEVAL INPUT 2017 Hourly'!I39)*(1+$B$4)^($B$1-'FREEVAL INPUT 2017 Hourly'!$A$1)</f>
        <v>91.667115200250024</v>
      </c>
      <c r="K40" s="21">
        <f>('FREEVAL INPUT 2017 Hourly'!J39)*(1+$B$4)^($B$1-'FREEVAL INPUT 2017 Hourly'!$A$1)</f>
        <v>60.756111237375016</v>
      </c>
      <c r="L40" s="21">
        <f>('FREEVAL INPUT 2017 Hourly'!K39)*(1+$B$4)^($B$1-'FREEVAL INPUT 2017 Hourly'!$A$1)</f>
        <v>152.42322643762503</v>
      </c>
      <c r="M40" s="21">
        <f>('FREEVAL INPUT 2017 Hourly'!L39)*(1+$B$4)^($B$1-'FREEVAL INPUT 2017 Hourly'!$A$1)</f>
        <v>10.658966883750002</v>
      </c>
      <c r="N40" s="21">
        <f>('FREEVAL INPUT 2017 Hourly'!M39)*(1+$B$4)^($B$1-'FREEVAL INPUT 2017 Hourly'!$A$1)</f>
        <v>141.76425955387504</v>
      </c>
      <c r="O40" s="21">
        <f>('FREEVAL INPUT 2017 Hourly'!N39)*(1+$B$4)^($B$1-'FREEVAL INPUT 2017 Hourly'!$A$1)</f>
        <v>49.031247665250014</v>
      </c>
      <c r="P40" s="21">
        <f>('FREEVAL INPUT 2017 Hourly'!O39)*(1+$B$4)^($B$1-'FREEVAL INPUT 2017 Hourly'!$A$1)</f>
        <v>190.79550721912506</v>
      </c>
      <c r="Q40" s="115">
        <f>('FREEVAL INPUT 2017 Hourly'!P39)*(1+$B$4)^($B$1-'FREEVAL INPUT 2017 Hourly'!$A$1)</f>
        <v>13.856656948875004</v>
      </c>
      <c r="R40" s="37">
        <f>('FREEVAL INPUT 2017 Hourly'!Q39)*(1+$B$4)^($B$1-'FREEVAL INPUT 2017 Hourly'!$A$1)</f>
        <v>176.93885027025004</v>
      </c>
    </row>
    <row r="41" spans="1:18" x14ac:dyDescent="0.25">
      <c r="B41" s="38">
        <f t="shared" si="1"/>
        <v>1160.7614936403752</v>
      </c>
      <c r="C41" s="20">
        <v>8.3333333333333301E-2</v>
      </c>
      <c r="D41" s="21">
        <f>('FREEVAL INPUT 2017 Hourly'!C40)*(1+$B$4)^($B$1-'FREEVAL INPUT 2017 Hourly'!$A$1)</f>
        <v>128.97349929337503</v>
      </c>
      <c r="E41" s="21">
        <f>('FREEVAL INPUT 2017 Hourly'!D40)*(1+$B$4)^($B$1-'FREEVAL INPUT 2017 Hourly'!$A$1)</f>
        <v>5.3294834418750012</v>
      </c>
      <c r="F41" s="21">
        <f>('FREEVAL INPUT 2017 Hourly'!E40)*(1+$B$4)^($B$1-'FREEVAL INPUT 2017 Hourly'!$A$1)</f>
        <v>123.64401585150003</v>
      </c>
      <c r="G41" s="21">
        <f>('FREEVAL INPUT 2017 Hourly'!F40)*(1+$B$4)^($B$1-'FREEVAL INPUT 2017 Hourly'!$A$1)</f>
        <v>8.5271735070000023</v>
      </c>
      <c r="H41" s="21">
        <f>('FREEVAL INPUT 2017 Hourly'!G40)*(1+$B$4)^($B$1-'FREEVAL INPUT 2017 Hourly'!$A$1)</f>
        <v>132.17118935850004</v>
      </c>
      <c r="I41" s="21">
        <f>('FREEVAL INPUT 2017 Hourly'!H40)*(1+$B$4)^($B$1-'FREEVAL INPUT 2017 Hourly'!$A$1)</f>
        <v>11.724863572125003</v>
      </c>
      <c r="J41" s="21">
        <f>('FREEVAL INPUT 2017 Hourly'!I40)*(1+$B$4)^($B$1-'FREEVAL INPUT 2017 Hourly'!$A$1)</f>
        <v>120.44632578637503</v>
      </c>
      <c r="K41" s="21">
        <f>('FREEVAL INPUT 2017 Hourly'!J40)*(1+$B$4)^($B$1-'FREEVAL INPUT 2017 Hourly'!$A$1)</f>
        <v>47.965350976875015</v>
      </c>
      <c r="L41" s="21">
        <f>('FREEVAL INPUT 2017 Hourly'!K40)*(1+$B$4)^($B$1-'FREEVAL INPUT 2017 Hourly'!$A$1)</f>
        <v>168.41167676325006</v>
      </c>
      <c r="M41" s="21">
        <f>('FREEVAL INPUT 2017 Hourly'!L40)*(1+$B$4)^($B$1-'FREEVAL INPUT 2017 Hourly'!$A$1)</f>
        <v>10.658966883750002</v>
      </c>
      <c r="N41" s="21">
        <f>('FREEVAL INPUT 2017 Hourly'!M40)*(1+$B$4)^($B$1-'FREEVAL INPUT 2017 Hourly'!$A$1)</f>
        <v>157.75270987950003</v>
      </c>
      <c r="O41" s="21">
        <f>('FREEVAL INPUT 2017 Hourly'!N40)*(1+$B$4)^($B$1-'FREEVAL INPUT 2017 Hourly'!$A$1)</f>
        <v>43.701764223375015</v>
      </c>
      <c r="P41" s="21">
        <f>('FREEVAL INPUT 2017 Hourly'!O40)*(1+$B$4)^($B$1-'FREEVAL INPUT 2017 Hourly'!$A$1)</f>
        <v>201.45447410287505</v>
      </c>
      <c r="Q41" s="115">
        <f>('FREEVAL INPUT 2017 Hourly'!P40)*(1+$B$4)^($B$1-'FREEVAL INPUT 2017 Hourly'!$A$1)</f>
        <v>12.790760260500004</v>
      </c>
      <c r="R41" s="37">
        <f>('FREEVAL INPUT 2017 Hourly'!Q40)*(1+$B$4)^($B$1-'FREEVAL INPUT 2017 Hourly'!$A$1)</f>
        <v>188.66371384237505</v>
      </c>
    </row>
    <row r="42" spans="1:18" x14ac:dyDescent="0.25">
      <c r="B42" s="38">
        <f t="shared" si="1"/>
        <v>1546.6160948321256</v>
      </c>
      <c r="C42" s="20">
        <v>0.125</v>
      </c>
      <c r="D42" s="21">
        <f>('FREEVAL INPUT 2017 Hourly'!C41)*(1+$B$4)^($B$1-'FREEVAL INPUT 2017 Hourly'!$A$1)</f>
        <v>170.54347014000004</v>
      </c>
      <c r="E42" s="21">
        <f>('FREEVAL INPUT 2017 Hourly'!D41)*(1+$B$4)^($B$1-'FREEVAL INPUT 2017 Hourly'!$A$1)</f>
        <v>9.5930701953750024</v>
      </c>
      <c r="F42" s="21">
        <f>('FREEVAL INPUT 2017 Hourly'!E41)*(1+$B$4)^($B$1-'FREEVAL INPUT 2017 Hourly'!$A$1)</f>
        <v>160.95039994462505</v>
      </c>
      <c r="G42" s="21">
        <f>('FREEVAL INPUT 2017 Hourly'!F41)*(1+$B$4)^($B$1-'FREEVAL INPUT 2017 Hourly'!$A$1)</f>
        <v>10.658966883750002</v>
      </c>
      <c r="H42" s="21">
        <f>('FREEVAL INPUT 2017 Hourly'!G41)*(1+$B$4)^($B$1-'FREEVAL INPUT 2017 Hourly'!$A$1)</f>
        <v>171.60936682837504</v>
      </c>
      <c r="I42" s="21">
        <f>('FREEVAL INPUT 2017 Hourly'!H41)*(1+$B$4)^($B$1-'FREEVAL INPUT 2017 Hourly'!$A$1)</f>
        <v>14.922553637250004</v>
      </c>
      <c r="J42" s="21">
        <f>('FREEVAL INPUT 2017 Hourly'!I41)*(1+$B$4)^($B$1-'FREEVAL INPUT 2017 Hourly'!$A$1)</f>
        <v>156.68681319112505</v>
      </c>
      <c r="K42" s="21">
        <f>('FREEVAL INPUT 2017 Hourly'!J41)*(1+$B$4)^($B$1-'FREEVAL INPUT 2017 Hourly'!$A$1)</f>
        <v>73.546871497875017</v>
      </c>
      <c r="L42" s="21">
        <f>('FREEVAL INPUT 2017 Hourly'!K41)*(1+$B$4)^($B$1-'FREEVAL INPUT 2017 Hourly'!$A$1)</f>
        <v>230.23368468900006</v>
      </c>
      <c r="M42" s="21">
        <f>('FREEVAL INPUT 2017 Hourly'!L41)*(1+$B$4)^($B$1-'FREEVAL INPUT 2017 Hourly'!$A$1)</f>
        <v>42.63586753500001</v>
      </c>
      <c r="N42" s="21">
        <f>('FREEVAL INPUT 2017 Hourly'!M41)*(1+$B$4)^($B$1-'FREEVAL INPUT 2017 Hourly'!$A$1)</f>
        <v>187.59781715400004</v>
      </c>
      <c r="O42" s="21">
        <f>('FREEVAL INPUT 2017 Hourly'!N41)*(1+$B$4)^($B$1-'FREEVAL INPUT 2017 Hourly'!$A$1)</f>
        <v>65.019697990875017</v>
      </c>
      <c r="P42" s="21">
        <f>('FREEVAL INPUT 2017 Hourly'!O41)*(1+$B$4)^($B$1-'FREEVAL INPUT 2017 Hourly'!$A$1)</f>
        <v>252.61751514487506</v>
      </c>
      <c r="Q42" s="115">
        <f>('FREEVAL INPUT 2017 Hourly'!P41)*(1+$B$4)^($B$1-'FREEVAL INPUT 2017 Hourly'!$A$1)</f>
        <v>14.922553637250004</v>
      </c>
      <c r="R42" s="37">
        <f>('FREEVAL INPUT 2017 Hourly'!Q41)*(1+$B$4)^($B$1-'FREEVAL INPUT 2017 Hourly'!$A$1)</f>
        <v>237.69496150762507</v>
      </c>
    </row>
    <row r="43" spans="1:18" x14ac:dyDescent="0.25">
      <c r="B43" s="38">
        <f t="shared" si="1"/>
        <v>3834.0303880848755</v>
      </c>
      <c r="C43" s="20">
        <v>0.16666666666666699</v>
      </c>
      <c r="D43" s="21">
        <f>('FREEVAL INPUT 2017 Hourly'!C42)*(1+$B$4)^($B$1-'FREEVAL INPUT 2017 Hourly'!$A$1)</f>
        <v>402.90894820575011</v>
      </c>
      <c r="E43" s="21">
        <f>('FREEVAL INPUT 2017 Hourly'!D42)*(1+$B$4)^($B$1-'FREEVAL INPUT 2017 Hourly'!$A$1)</f>
        <v>6.3953801302500022</v>
      </c>
      <c r="F43" s="21">
        <f>('FREEVAL INPUT 2017 Hourly'!E42)*(1+$B$4)^($B$1-'FREEVAL INPUT 2017 Hourly'!$A$1)</f>
        <v>396.51356807550013</v>
      </c>
      <c r="G43" s="21">
        <f>('FREEVAL INPUT 2017 Hourly'!F42)*(1+$B$4)^($B$1-'FREEVAL INPUT 2017 Hourly'!$A$1)</f>
        <v>20.252037079125007</v>
      </c>
      <c r="H43" s="21">
        <f>('FREEVAL INPUT 2017 Hourly'!G42)*(1+$B$4)^($B$1-'FREEVAL INPUT 2017 Hourly'!$A$1)</f>
        <v>416.76560515462512</v>
      </c>
      <c r="I43" s="21">
        <f>('FREEVAL INPUT 2017 Hourly'!H42)*(1+$B$4)^($B$1-'FREEVAL INPUT 2017 Hourly'!$A$1)</f>
        <v>40.504074158250013</v>
      </c>
      <c r="J43" s="21">
        <f>('FREEVAL INPUT 2017 Hourly'!I42)*(1+$B$4)^($B$1-'FREEVAL INPUT 2017 Hourly'!$A$1)</f>
        <v>376.26153099637509</v>
      </c>
      <c r="K43" s="21">
        <f>('FREEVAL INPUT 2017 Hourly'!J42)*(1+$B$4)^($B$1-'FREEVAL INPUT 2017 Hourly'!$A$1)</f>
        <v>188.66371384237505</v>
      </c>
      <c r="L43" s="21">
        <f>('FREEVAL INPUT 2017 Hourly'!K42)*(1+$B$4)^($B$1-'FREEVAL INPUT 2017 Hourly'!$A$1)</f>
        <v>564.92524483875013</v>
      </c>
      <c r="M43" s="21">
        <f>('FREEVAL INPUT 2017 Hourly'!L42)*(1+$B$4)^($B$1-'FREEVAL INPUT 2017 Hourly'!$A$1)</f>
        <v>33.042797339625011</v>
      </c>
      <c r="N43" s="21">
        <f>('FREEVAL INPUT 2017 Hourly'!M42)*(1+$B$4)^($B$1-'FREEVAL INPUT 2017 Hourly'!$A$1)</f>
        <v>531.88244749912519</v>
      </c>
      <c r="O43" s="21">
        <f>('FREEVAL INPUT 2017 Hourly'!N42)*(1+$B$4)^($B$1-'FREEVAL INPUT 2017 Hourly'!$A$1)</f>
        <v>162.01629663300005</v>
      </c>
      <c r="P43" s="21">
        <f>('FREEVAL INPUT 2017 Hourly'!O42)*(1+$B$4)^($B$1-'FREEVAL INPUT 2017 Hourly'!$A$1)</f>
        <v>693.89874413212522</v>
      </c>
      <c r="Q43" s="115">
        <f>('FREEVAL INPUT 2017 Hourly'!P42)*(1+$B$4)^($B$1-'FREEVAL INPUT 2017 Hourly'!$A$1)</f>
        <v>21.317933767500005</v>
      </c>
      <c r="R43" s="37">
        <f>('FREEVAL INPUT 2017 Hourly'!Q42)*(1+$B$4)^($B$1-'FREEVAL INPUT 2017 Hourly'!$A$1)</f>
        <v>672.58081036462522</v>
      </c>
    </row>
    <row r="44" spans="1:18" x14ac:dyDescent="0.25">
      <c r="B44" s="38">
        <f t="shared" si="1"/>
        <v>12261.009606377629</v>
      </c>
      <c r="C44" s="20">
        <v>0.20833333333333301</v>
      </c>
      <c r="D44" s="21">
        <f>('FREEVAL INPUT 2017 Hourly'!C43)*(1+$B$4)^($B$1-'FREEVAL INPUT 2017 Hourly'!$A$1)</f>
        <v>1243.9014353336254</v>
      </c>
      <c r="E44" s="21">
        <f>('FREEVAL INPUT 2017 Hourly'!D43)*(1+$B$4)^($B$1-'FREEVAL INPUT 2017 Hourly'!$A$1)</f>
        <v>19.186140390750005</v>
      </c>
      <c r="F44" s="21">
        <f>('FREEVAL INPUT 2017 Hourly'!E43)*(1+$B$4)^($B$1-'FREEVAL INPUT 2017 Hourly'!$A$1)</f>
        <v>1224.7152949428753</v>
      </c>
      <c r="G44" s="21">
        <f>('FREEVAL INPUT 2017 Hourly'!F43)*(1+$B$4)^($B$1-'FREEVAL INPUT 2017 Hourly'!$A$1)</f>
        <v>92.733011888625029</v>
      </c>
      <c r="H44" s="21">
        <f>('FREEVAL INPUT 2017 Hourly'!G43)*(1+$B$4)^($B$1-'FREEVAL INPUT 2017 Hourly'!$A$1)</f>
        <v>1317.4483068315003</v>
      </c>
      <c r="I44" s="21">
        <f>('FREEVAL INPUT 2017 Hourly'!H43)*(1+$B$4)^($B$1-'FREEVAL INPUT 2017 Hourly'!$A$1)</f>
        <v>95.930701953750031</v>
      </c>
      <c r="J44" s="21">
        <f>('FREEVAL INPUT 2017 Hourly'!I43)*(1+$B$4)^($B$1-'FREEVAL INPUT 2017 Hourly'!$A$1)</f>
        <v>1221.5176048777503</v>
      </c>
      <c r="K44" s="21">
        <f>('FREEVAL INPUT 2017 Hourly'!J43)*(1+$B$4)^($B$1-'FREEVAL INPUT 2017 Hourly'!$A$1)</f>
        <v>620.35187263425019</v>
      </c>
      <c r="L44" s="21">
        <f>('FREEVAL INPUT 2017 Hourly'!K43)*(1+$B$4)^($B$1-'FREEVAL INPUT 2017 Hourly'!$A$1)</f>
        <v>1841.8694775120005</v>
      </c>
      <c r="M44" s="21">
        <f>('FREEVAL INPUT 2017 Hourly'!L43)*(1+$B$4)^($B$1-'FREEVAL INPUT 2017 Hourly'!$A$1)</f>
        <v>70.349181432750015</v>
      </c>
      <c r="N44" s="21">
        <f>('FREEVAL INPUT 2017 Hourly'!M43)*(1+$B$4)^($B$1-'FREEVAL INPUT 2017 Hourly'!$A$1)</f>
        <v>1771.5202960792506</v>
      </c>
      <c r="O44" s="21">
        <f>('FREEVAL INPUT 2017 Hourly'!N43)*(1+$B$4)^($B$1-'FREEVAL INPUT 2017 Hourly'!$A$1)</f>
        <v>484.98299321062512</v>
      </c>
      <c r="P44" s="21">
        <f>('FREEVAL INPUT 2017 Hourly'!O43)*(1+$B$4)^($B$1-'FREEVAL INPUT 2017 Hourly'!$A$1)</f>
        <v>2256.5032892898757</v>
      </c>
      <c r="Q44" s="115">
        <f>('FREEVAL INPUT 2017 Hourly'!P43)*(1+$B$4)^($B$1-'FREEVAL INPUT 2017 Hourly'!$A$1)</f>
        <v>41.569970846625012</v>
      </c>
      <c r="R44" s="37">
        <f>('FREEVAL INPUT 2017 Hourly'!Q43)*(1+$B$4)^($B$1-'FREEVAL INPUT 2017 Hourly'!$A$1)</f>
        <v>2214.9333184432508</v>
      </c>
    </row>
    <row r="45" spans="1:18" s="52" customFormat="1" x14ac:dyDescent="0.25">
      <c r="B45" s="38">
        <f t="shared" si="1"/>
        <v>23597.886783934133</v>
      </c>
      <c r="C45" s="50">
        <v>0.25</v>
      </c>
      <c r="D45" s="21">
        <f>('FREEVAL INPUT 2017 Hourly'!C44)*(1+$B$4)^($B$1-'FREEVAL INPUT 2017 Hourly'!$A$1)</f>
        <v>2261.8327727317505</v>
      </c>
      <c r="E45" s="21">
        <f>('FREEVAL INPUT 2017 Hourly'!D44)*(1+$B$4)^($B$1-'FREEVAL INPUT 2017 Hourly'!$A$1)</f>
        <v>75.678664874625014</v>
      </c>
      <c r="F45" s="21">
        <f>('FREEVAL INPUT 2017 Hourly'!E44)*(1+$B$4)^($B$1-'FREEVAL INPUT 2017 Hourly'!$A$1)</f>
        <v>2186.1541078571254</v>
      </c>
      <c r="G45" s="21">
        <f>('FREEVAL INPUT 2017 Hourly'!F44)*(1+$B$4)^($B$1-'FREEVAL INPUT 2017 Hourly'!$A$1)</f>
        <v>281.39672573100006</v>
      </c>
      <c r="H45" s="21">
        <f>('FREEVAL INPUT 2017 Hourly'!G44)*(1+$B$4)^($B$1-'FREEVAL INPUT 2017 Hourly'!$A$1)</f>
        <v>2467.5508335881259</v>
      </c>
      <c r="I45" s="21">
        <f>('FREEVAL INPUT 2017 Hourly'!H44)*(1+$B$4)^($B$1-'FREEVAL INPUT 2017 Hourly'!$A$1)</f>
        <v>215.31113105175007</v>
      </c>
      <c r="J45" s="21">
        <f>('FREEVAL INPUT 2017 Hourly'!I44)*(1+$B$4)^($B$1-'FREEVAL INPUT 2017 Hourly'!$A$1)</f>
        <v>2252.2397025363757</v>
      </c>
      <c r="K45" s="21">
        <f>('FREEVAL INPUT 2017 Hourly'!J44)*(1+$B$4)^($B$1-'FREEVAL INPUT 2017 Hourly'!$A$1)</f>
        <v>1282.2737161151254</v>
      </c>
      <c r="L45" s="21">
        <f>('FREEVAL INPUT 2017 Hourly'!K44)*(1+$B$4)^($B$1-'FREEVAL INPUT 2017 Hourly'!$A$1)</f>
        <v>3534.5134186515011</v>
      </c>
      <c r="M45" s="21">
        <f>('FREEVAL INPUT 2017 Hourly'!L44)*(1+$B$4)^($B$1-'FREEVAL INPUT 2017 Hourly'!$A$1)</f>
        <v>130.03939598175003</v>
      </c>
      <c r="N45" s="21">
        <f>('FREEVAL INPUT 2017 Hourly'!M44)*(1+$B$4)^($B$1-'FREEVAL INPUT 2017 Hourly'!$A$1)</f>
        <v>3404.4740226697509</v>
      </c>
      <c r="O45" s="21">
        <f>('FREEVAL INPUT 2017 Hourly'!N44)*(1+$B$4)^($B$1-'FREEVAL INPUT 2017 Hourly'!$A$1)</f>
        <v>1050.9741347377503</v>
      </c>
      <c r="P45" s="21">
        <f>('FREEVAL INPUT 2017 Hourly'!O44)*(1+$B$4)^($B$1-'FREEVAL INPUT 2017 Hourly'!$A$1)</f>
        <v>4455.4481574075016</v>
      </c>
      <c r="Q45" s="115">
        <f>('FREEVAL INPUT 2017 Hourly'!P44)*(1+$B$4)^($B$1-'FREEVAL INPUT 2017 Hourly'!$A$1)</f>
        <v>69.283284744375024</v>
      </c>
      <c r="R45" s="106">
        <f>('FREEVAL INPUT 2017 Hourly'!Q44)*(1+$B$4)^($B$1-'FREEVAL INPUT 2017 Hourly'!$A$1)</f>
        <v>4386.1648726631265</v>
      </c>
    </row>
    <row r="46" spans="1:18" s="51" customFormat="1" x14ac:dyDescent="0.25">
      <c r="A46" s="102" t="s">
        <v>242</v>
      </c>
      <c r="B46" s="39">
        <f t="shared" si="1"/>
        <v>23028.6709278665</v>
      </c>
      <c r="C46" s="40">
        <v>0.29166666666666702</v>
      </c>
      <c r="D46" s="44">
        <f>F46+E46</f>
        <v>2176</v>
      </c>
      <c r="E46" s="44">
        <v>196</v>
      </c>
      <c r="F46" s="44">
        <v>1980</v>
      </c>
      <c r="G46" s="44">
        <v>353</v>
      </c>
      <c r="H46" s="44">
        <v>2333</v>
      </c>
      <c r="I46" s="44">
        <v>379</v>
      </c>
      <c r="J46" s="44">
        <f>H46-I46</f>
        <v>1954</v>
      </c>
      <c r="K46" s="44">
        <f>('FREEVAL INPUT 2017 Hourly'!J45)*(1+$B$4)^($B$1-'FREEVAL INPUT 2017 Hourly'!$A$1)</f>
        <v>1405.9177319666253</v>
      </c>
      <c r="L46" s="44">
        <f>J46+K46</f>
        <v>3359.9177319666251</v>
      </c>
      <c r="M46" s="44">
        <v>372</v>
      </c>
      <c r="N46" s="44">
        <f>L46-M46</f>
        <v>2987.9177319666251</v>
      </c>
      <c r="O46" s="44">
        <v>1272</v>
      </c>
      <c r="P46" s="44">
        <f>N46+O46</f>
        <v>4259.9177319666251</v>
      </c>
      <c r="Q46" s="45">
        <v>79</v>
      </c>
      <c r="R46" s="45">
        <f>P46-Q46</f>
        <v>4180.9177319666251</v>
      </c>
    </row>
    <row r="47" spans="1:18" x14ac:dyDescent="0.25">
      <c r="B47" s="38">
        <f t="shared" si="1"/>
        <v>17943.304852104757</v>
      </c>
      <c r="C47" s="20">
        <v>0.33333333333333298</v>
      </c>
      <c r="D47" s="21">
        <f>('FREEVAL INPUT 2017 Hourly'!C46)*(1+$B$4)^($B$1-'FREEVAL INPUT 2017 Hourly'!$A$1)</f>
        <v>1674.5236974371255</v>
      </c>
      <c r="E47" s="21">
        <f>('FREEVAL INPUT 2017 Hourly'!D46)*(1+$B$4)^($B$1-'FREEVAL INPUT 2017 Hourly'!$A$1)</f>
        <v>125.77580922825004</v>
      </c>
      <c r="F47" s="21">
        <f>('FREEVAL INPUT 2017 Hourly'!E46)*(1+$B$4)^($B$1-'FREEVAL INPUT 2017 Hourly'!$A$1)</f>
        <v>1548.7478882088753</v>
      </c>
      <c r="G47" s="21">
        <f>('FREEVAL INPUT 2017 Hourly'!F46)*(1+$B$4)^($B$1-'FREEVAL INPUT 2017 Hourly'!$A$1)</f>
        <v>223.83830455875005</v>
      </c>
      <c r="H47" s="21">
        <f>('FREEVAL INPUT 2017 Hourly'!G46)*(1+$B$4)^($B$1-'FREEVAL INPUT 2017 Hourly'!$A$1)</f>
        <v>1772.5861927676256</v>
      </c>
      <c r="I47" s="21">
        <f>('FREEVAL INPUT 2017 Hourly'!H46)*(1+$B$4)^($B$1-'FREEVAL INPUT 2017 Hourly'!$A$1)</f>
        <v>270.73775884725006</v>
      </c>
      <c r="J47" s="21">
        <f>('FREEVAL INPUT 2017 Hourly'!I46)*(1+$B$4)^($B$1-'FREEVAL INPUT 2017 Hourly'!$A$1)</f>
        <v>1501.8484339203753</v>
      </c>
      <c r="K47" s="21">
        <f>('FREEVAL INPUT 2017 Hourly'!J46)*(1+$B$4)^($B$1-'FREEVAL INPUT 2017 Hourly'!$A$1)</f>
        <v>1157.5638035752504</v>
      </c>
      <c r="L47" s="21">
        <f>('FREEVAL INPUT 2017 Hourly'!K46)*(1+$B$4)^($B$1-'FREEVAL INPUT 2017 Hourly'!$A$1)</f>
        <v>2659.4122374956255</v>
      </c>
      <c r="M47" s="21">
        <f>('FREEVAL INPUT 2017 Hourly'!L46)*(1+$B$4)^($B$1-'FREEVAL INPUT 2017 Hourly'!$A$1)</f>
        <v>163.08219332137506</v>
      </c>
      <c r="N47" s="21">
        <f>('FREEVAL INPUT 2017 Hourly'!M46)*(1+$B$4)^($B$1-'FREEVAL INPUT 2017 Hourly'!$A$1)</f>
        <v>2496.3300441742508</v>
      </c>
      <c r="O47" s="21">
        <f>('FREEVAL INPUT 2017 Hourly'!N46)*(1+$B$4)^($B$1-'FREEVAL INPUT 2017 Hourly'!$A$1)</f>
        <v>926.26422219787526</v>
      </c>
      <c r="P47" s="21">
        <f>('FREEVAL INPUT 2017 Hourly'!O46)*(1+$B$4)^($B$1-'FREEVAL INPUT 2017 Hourly'!$A$1)</f>
        <v>3422.5942663721257</v>
      </c>
      <c r="Q47" s="115">
        <f>('FREEVAL INPUT 2017 Hourly'!P46)*(1+$B$4)^($B$1-'FREEVAL INPUT 2017 Hourly'!$A$1)</f>
        <v>81.008148316500026</v>
      </c>
      <c r="R47" s="37">
        <f>('FREEVAL INPUT 2017 Hourly'!Q46)*(1+$B$4)^($B$1-'FREEVAL INPUT 2017 Hourly'!$A$1)</f>
        <v>3341.5861180556258</v>
      </c>
    </row>
    <row r="48" spans="1:18" x14ac:dyDescent="0.25">
      <c r="B48" s="38">
        <f t="shared" si="1"/>
        <v>13760.726246921256</v>
      </c>
      <c r="C48" s="20">
        <v>0.375</v>
      </c>
      <c r="D48" s="21">
        <f>('FREEVAL INPUT 2017 Hourly'!C47)*(1+$B$4)^($B$1-'FREEVAL INPUT 2017 Hourly'!$A$1)</f>
        <v>1381.4021081340004</v>
      </c>
      <c r="E48" s="21">
        <f>('FREEVAL INPUT 2017 Hourly'!D47)*(1+$B$4)^($B$1-'FREEVAL INPUT 2017 Hourly'!$A$1)</f>
        <v>93.79890857700002</v>
      </c>
      <c r="F48" s="21">
        <f>('FREEVAL INPUT 2017 Hourly'!E47)*(1+$B$4)^($B$1-'FREEVAL INPUT 2017 Hourly'!$A$1)</f>
        <v>1287.6031995570004</v>
      </c>
      <c r="G48" s="21">
        <f>('FREEVAL INPUT 2017 Hourly'!F47)*(1+$B$4)^($B$1-'FREEVAL INPUT 2017 Hourly'!$A$1)</f>
        <v>110.85325559100004</v>
      </c>
      <c r="H48" s="21">
        <f>('FREEVAL INPUT 2017 Hourly'!G47)*(1+$B$4)^($B$1-'FREEVAL INPUT 2017 Hourly'!$A$1)</f>
        <v>1398.4564551480005</v>
      </c>
      <c r="I48" s="21">
        <f>('FREEVAL INPUT 2017 Hourly'!H47)*(1+$B$4)^($B$1-'FREEVAL INPUT 2017 Hourly'!$A$1)</f>
        <v>233.43137475412507</v>
      </c>
      <c r="J48" s="21">
        <f>('FREEVAL INPUT 2017 Hourly'!I47)*(1+$B$4)^($B$1-'FREEVAL INPUT 2017 Hourly'!$A$1)</f>
        <v>1165.0250803938752</v>
      </c>
      <c r="K48" s="21">
        <f>('FREEVAL INPUT 2017 Hourly'!J47)*(1+$B$4)^($B$1-'FREEVAL INPUT 2017 Hourly'!$A$1)</f>
        <v>862.31042089537527</v>
      </c>
      <c r="L48" s="21">
        <f>('FREEVAL INPUT 2017 Hourly'!K47)*(1+$B$4)^($B$1-'FREEVAL INPUT 2017 Hourly'!$A$1)</f>
        <v>2027.3355012892505</v>
      </c>
      <c r="M48" s="21">
        <f>('FREEVAL INPUT 2017 Hourly'!L47)*(1+$B$4)^($B$1-'FREEVAL INPUT 2017 Hourly'!$A$1)</f>
        <v>233.43137475412507</v>
      </c>
      <c r="N48" s="21">
        <f>('FREEVAL INPUT 2017 Hourly'!M47)*(1+$B$4)^($B$1-'FREEVAL INPUT 2017 Hourly'!$A$1)</f>
        <v>1793.9041265351254</v>
      </c>
      <c r="O48" s="21">
        <f>('FREEVAL INPUT 2017 Hourly'!N47)*(1+$B$4)^($B$1-'FREEVAL INPUT 2017 Hourly'!$A$1)</f>
        <v>689.63515737862519</v>
      </c>
      <c r="P48" s="21">
        <f>('FREEVAL INPUT 2017 Hourly'!O47)*(1+$B$4)^($B$1-'FREEVAL INPUT 2017 Hourly'!$A$1)</f>
        <v>2483.5392839137508</v>
      </c>
      <c r="Q48" s="115">
        <f>('FREEVAL INPUT 2017 Hourly'!P47)*(1+$B$4)^($B$1-'FREEVAL INPUT 2017 Hourly'!$A$1)</f>
        <v>88.469425135125022</v>
      </c>
      <c r="R48" s="37">
        <f>('FREEVAL INPUT 2017 Hourly'!Q47)*(1+$B$4)^($B$1-'FREEVAL INPUT 2017 Hourly'!$A$1)</f>
        <v>2395.0698587786255</v>
      </c>
    </row>
    <row r="49" spans="1:18" x14ac:dyDescent="0.25">
      <c r="B49" s="38">
        <f t="shared" si="1"/>
        <v>12722.542872444003</v>
      </c>
      <c r="C49" s="20">
        <v>0.41666666666666702</v>
      </c>
      <c r="D49" s="21">
        <f>('FREEVAL INPUT 2017 Hourly'!C48)*(1+$B$4)^($B$1-'FREEVAL INPUT 2017 Hourly'!$A$1)</f>
        <v>1308.9211333245003</v>
      </c>
      <c r="E49" s="21">
        <f>('FREEVAL INPUT 2017 Hourly'!D48)*(1+$B$4)^($B$1-'FREEVAL INPUT 2017 Hourly'!$A$1)</f>
        <v>107.65556552587503</v>
      </c>
      <c r="F49" s="21">
        <f>('FREEVAL INPUT 2017 Hourly'!E48)*(1+$B$4)^($B$1-'FREEVAL INPUT 2017 Hourly'!$A$1)</f>
        <v>1201.2655677986254</v>
      </c>
      <c r="G49" s="21">
        <f>('FREEVAL INPUT 2017 Hourly'!F48)*(1+$B$4)^($B$1-'FREEVAL INPUT 2017 Hourly'!$A$1)</f>
        <v>83.139941693250023</v>
      </c>
      <c r="H49" s="21">
        <f>('FREEVAL INPUT 2017 Hourly'!G48)*(1+$B$4)^($B$1-'FREEVAL INPUT 2017 Hourly'!$A$1)</f>
        <v>1284.4055094918754</v>
      </c>
      <c r="I49" s="21">
        <f>('FREEVAL INPUT 2017 Hourly'!H48)*(1+$B$4)^($B$1-'FREEVAL INPUT 2017 Hourly'!$A$1)</f>
        <v>236.62906481925006</v>
      </c>
      <c r="J49" s="21">
        <f>('FREEVAL INPUT 2017 Hourly'!I48)*(1+$B$4)^($B$1-'FREEVAL INPUT 2017 Hourly'!$A$1)</f>
        <v>1047.7764446726253</v>
      </c>
      <c r="K49" s="21">
        <f>('FREEVAL INPUT 2017 Hourly'!J48)*(1+$B$4)^($B$1-'FREEVAL INPUT 2017 Hourly'!$A$1)</f>
        <v>785.56585933237523</v>
      </c>
      <c r="L49" s="21">
        <f>('FREEVAL INPUT 2017 Hourly'!K48)*(1+$B$4)^($B$1-'FREEVAL INPUT 2017 Hourly'!$A$1)</f>
        <v>1833.3423040050004</v>
      </c>
      <c r="M49" s="21">
        <f>('FREEVAL INPUT 2017 Hourly'!L48)*(1+$B$4)^($B$1-'FREEVAL INPUT 2017 Hourly'!$A$1)</f>
        <v>131.10529267012504</v>
      </c>
      <c r="N49" s="21">
        <f>('FREEVAL INPUT 2017 Hourly'!M48)*(1+$B$4)^($B$1-'FREEVAL INPUT 2017 Hourly'!$A$1)</f>
        <v>1702.2370113348754</v>
      </c>
      <c r="O49" s="21">
        <f>('FREEVAL INPUT 2017 Hourly'!N48)*(1+$B$4)^($B$1-'FREEVAL INPUT 2017 Hourly'!$A$1)</f>
        <v>649.13108322037522</v>
      </c>
      <c r="P49" s="21">
        <f>('FREEVAL INPUT 2017 Hourly'!O48)*(1+$B$4)^($B$1-'FREEVAL INPUT 2017 Hourly'!$A$1)</f>
        <v>2351.3680945552505</v>
      </c>
      <c r="Q49" s="115">
        <f>('FREEVAL INPUT 2017 Hourly'!P48)*(1+$B$4)^($B$1-'FREEVAL INPUT 2017 Hourly'!$A$1)</f>
        <v>95.930701953750031</v>
      </c>
      <c r="R49" s="37">
        <f>('FREEVAL INPUT 2017 Hourly'!Q48)*(1+$B$4)^($B$1-'FREEVAL INPUT 2017 Hourly'!$A$1)</f>
        <v>2255.4373926015005</v>
      </c>
    </row>
    <row r="50" spans="1:18" x14ac:dyDescent="0.25">
      <c r="B50" s="38">
        <f t="shared" si="1"/>
        <v>12764.112843290628</v>
      </c>
      <c r="C50" s="20">
        <v>0.45833333333333298</v>
      </c>
      <c r="D50" s="21">
        <f>('FREEVAL INPUT 2017 Hourly'!C49)*(1+$B$4)^($B$1-'FREEVAL INPUT 2017 Hourly'!$A$1)</f>
        <v>1308.9211333245003</v>
      </c>
      <c r="E50" s="21">
        <f>('FREEVAL INPUT 2017 Hourly'!D49)*(1+$B$4)^($B$1-'FREEVAL INPUT 2017 Hourly'!$A$1)</f>
        <v>107.65556552587503</v>
      </c>
      <c r="F50" s="21">
        <f>('FREEVAL INPUT 2017 Hourly'!E49)*(1+$B$4)^($B$1-'FREEVAL INPUT 2017 Hourly'!$A$1)</f>
        <v>1201.2655677986254</v>
      </c>
      <c r="G50" s="21">
        <f>('FREEVAL INPUT 2017 Hourly'!F49)*(1+$B$4)^($B$1-'FREEVAL INPUT 2017 Hourly'!$A$1)</f>
        <v>73.546871497875017</v>
      </c>
      <c r="H50" s="21">
        <f>('FREEVAL INPUT 2017 Hourly'!G49)*(1+$B$4)^($B$1-'FREEVAL INPUT 2017 Hourly'!$A$1)</f>
        <v>1274.8124392965003</v>
      </c>
      <c r="I50" s="21">
        <f>('FREEVAL INPUT 2017 Hourly'!H49)*(1+$B$4)^($B$1-'FREEVAL INPUT 2017 Hourly'!$A$1)</f>
        <v>251.55161845650008</v>
      </c>
      <c r="J50" s="21">
        <f>('FREEVAL INPUT 2017 Hourly'!I49)*(1+$B$4)^($B$1-'FREEVAL INPUT 2017 Hourly'!$A$1)</f>
        <v>1023.2608208400003</v>
      </c>
      <c r="K50" s="21">
        <f>('FREEVAL INPUT 2017 Hourly'!J49)*(1+$B$4)^($B$1-'FREEVAL INPUT 2017 Hourly'!$A$1)</f>
        <v>818.60865667200028</v>
      </c>
      <c r="L50" s="21">
        <f>('FREEVAL INPUT 2017 Hourly'!K49)*(1+$B$4)^($B$1-'FREEVAL INPUT 2017 Hourly'!$A$1)</f>
        <v>1841.8694775120005</v>
      </c>
      <c r="M50" s="21">
        <f>('FREEVAL INPUT 2017 Hourly'!L49)*(1+$B$4)^($B$1-'FREEVAL INPUT 2017 Hourly'!$A$1)</f>
        <v>117.24863572125003</v>
      </c>
      <c r="N50" s="21">
        <f>('FREEVAL INPUT 2017 Hourly'!M49)*(1+$B$4)^($B$1-'FREEVAL INPUT 2017 Hourly'!$A$1)</f>
        <v>1724.6208417907505</v>
      </c>
      <c r="O50" s="21">
        <f>('FREEVAL INPUT 2017 Hourly'!N49)*(1+$B$4)^($B$1-'FREEVAL INPUT 2017 Hourly'!$A$1)</f>
        <v>648.06518653200021</v>
      </c>
      <c r="P50" s="21">
        <f>('FREEVAL INPUT 2017 Hourly'!O49)*(1+$B$4)^($B$1-'FREEVAL INPUT 2017 Hourly'!$A$1)</f>
        <v>2372.6860283227506</v>
      </c>
      <c r="Q50" s="115">
        <f>('FREEVAL INPUT 2017 Hourly'!P49)*(1+$B$4)^($B$1-'FREEVAL INPUT 2017 Hourly'!$A$1)</f>
        <v>100.19428870725002</v>
      </c>
      <c r="R50" s="37">
        <f>('FREEVAL INPUT 2017 Hourly'!Q49)*(1+$B$4)^($B$1-'FREEVAL INPUT 2017 Hourly'!$A$1)</f>
        <v>2272.4917396155006</v>
      </c>
    </row>
    <row r="51" spans="1:18" x14ac:dyDescent="0.25">
      <c r="B51" s="38">
        <f t="shared" si="1"/>
        <v>13063.629812724002</v>
      </c>
      <c r="C51" s="20">
        <v>0.5</v>
      </c>
      <c r="D51" s="21">
        <f>('FREEVAL INPUT 2017 Hourly'!C50)*(1+$B$4)^($B$1-'FREEVAL INPUT 2017 Hourly'!$A$1)</f>
        <v>1330.2390670920004</v>
      </c>
      <c r="E51" s="21">
        <f>('FREEVAL INPUT 2017 Hourly'!D50)*(1+$B$4)^($B$1-'FREEVAL INPUT 2017 Hourly'!$A$1)</f>
        <v>120.44632578637503</v>
      </c>
      <c r="F51" s="21">
        <f>('FREEVAL INPUT 2017 Hourly'!E50)*(1+$B$4)^($B$1-'FREEVAL INPUT 2017 Hourly'!$A$1)</f>
        <v>1209.7927413056254</v>
      </c>
      <c r="G51" s="21">
        <f>('FREEVAL INPUT 2017 Hourly'!F50)*(1+$B$4)^($B$1-'FREEVAL INPUT 2017 Hourly'!$A$1)</f>
        <v>75.678664874625014</v>
      </c>
      <c r="H51" s="21">
        <f>('FREEVAL INPUT 2017 Hourly'!G50)*(1+$B$4)^($B$1-'FREEVAL INPUT 2017 Hourly'!$A$1)</f>
        <v>1285.4714061802504</v>
      </c>
      <c r="I51" s="21">
        <f>('FREEVAL INPUT 2017 Hourly'!H50)*(1+$B$4)^($B$1-'FREEVAL INPUT 2017 Hourly'!$A$1)</f>
        <v>280.33082904262506</v>
      </c>
      <c r="J51" s="21">
        <f>('FREEVAL INPUT 2017 Hourly'!I50)*(1+$B$4)^($B$1-'FREEVAL INPUT 2017 Hourly'!$A$1)</f>
        <v>1005.1405771376253</v>
      </c>
      <c r="K51" s="21">
        <f>('FREEVAL INPUT 2017 Hourly'!J50)*(1+$B$4)^($B$1-'FREEVAL INPUT 2017 Hourly'!$A$1)</f>
        <v>862.31042089537527</v>
      </c>
      <c r="L51" s="21">
        <f>('FREEVAL INPUT 2017 Hourly'!K50)*(1+$B$4)^($B$1-'FREEVAL INPUT 2017 Hourly'!$A$1)</f>
        <v>1867.4509980330006</v>
      </c>
      <c r="M51" s="21">
        <f>('FREEVAL INPUT 2017 Hourly'!L50)*(1+$B$4)^($B$1-'FREEVAL INPUT 2017 Hourly'!$A$1)</f>
        <v>144.96194961900005</v>
      </c>
      <c r="N51" s="21">
        <f>('FREEVAL INPUT 2017 Hourly'!M50)*(1+$B$4)^($B$1-'FREEVAL INPUT 2017 Hourly'!$A$1)</f>
        <v>1722.4890484140005</v>
      </c>
      <c r="O51" s="21">
        <f>('FREEVAL INPUT 2017 Hourly'!N50)*(1+$B$4)^($B$1-'FREEVAL INPUT 2017 Hourly'!$A$1)</f>
        <v>718.41436796475023</v>
      </c>
      <c r="P51" s="21">
        <f>('FREEVAL INPUT 2017 Hourly'!O50)*(1+$B$4)^($B$1-'FREEVAL INPUT 2017 Hourly'!$A$1)</f>
        <v>2440.9034163787505</v>
      </c>
      <c r="Q51" s="115">
        <f>('FREEVAL INPUT 2017 Hourly'!P50)*(1+$B$4)^($B$1-'FREEVAL INPUT 2017 Hourly'!$A$1)</f>
        <v>102.32608208400003</v>
      </c>
      <c r="R51" s="37">
        <f>('FREEVAL INPUT 2017 Hourly'!Q50)*(1+$B$4)^($B$1-'FREEVAL INPUT 2017 Hourly'!$A$1)</f>
        <v>2338.5773342947505</v>
      </c>
    </row>
    <row r="52" spans="1:18" x14ac:dyDescent="0.25">
      <c r="B52" s="38">
        <f t="shared" si="1"/>
        <v>12835.527921411755</v>
      </c>
      <c r="C52" s="20">
        <v>0.54166666666666696</v>
      </c>
      <c r="D52" s="21">
        <f>('FREEVAL INPUT 2017 Hourly'!C51)*(1+$B$4)^($B$1-'FREEVAL INPUT 2017 Hourly'!$A$1)</f>
        <v>1264.1534724127503</v>
      </c>
      <c r="E52" s="21">
        <f>('FREEVAL INPUT 2017 Hourly'!D51)*(1+$B$4)^($B$1-'FREEVAL INPUT 2017 Hourly'!$A$1)</f>
        <v>98.062495330500028</v>
      </c>
      <c r="F52" s="21">
        <f>('FREEVAL INPUT 2017 Hourly'!E51)*(1+$B$4)^($B$1-'FREEVAL INPUT 2017 Hourly'!$A$1)</f>
        <v>1166.0909770822502</v>
      </c>
      <c r="G52" s="21">
        <f>('FREEVAL INPUT 2017 Hourly'!F51)*(1+$B$4)^($B$1-'FREEVAL INPUT 2017 Hourly'!$A$1)</f>
        <v>77.810458251375024</v>
      </c>
      <c r="H52" s="21">
        <f>('FREEVAL INPUT 2017 Hourly'!G51)*(1+$B$4)^($B$1-'FREEVAL INPUT 2017 Hourly'!$A$1)</f>
        <v>1243.9014353336254</v>
      </c>
      <c r="I52" s="21">
        <f>('FREEVAL INPUT 2017 Hourly'!H51)*(1+$B$4)^($B$1-'FREEVAL INPUT 2017 Hourly'!$A$1)</f>
        <v>225.97009793550006</v>
      </c>
      <c r="J52" s="21">
        <f>('FREEVAL INPUT 2017 Hourly'!I51)*(1+$B$4)^($B$1-'FREEVAL INPUT 2017 Hourly'!$A$1)</f>
        <v>1017.9313373981253</v>
      </c>
      <c r="K52" s="21">
        <f>('FREEVAL INPUT 2017 Hourly'!J51)*(1+$B$4)^($B$1-'FREEVAL INPUT 2017 Hourly'!$A$1)</f>
        <v>837.79479706275026</v>
      </c>
      <c r="L52" s="21">
        <f>('FREEVAL INPUT 2017 Hourly'!K51)*(1+$B$4)^($B$1-'FREEVAL INPUT 2017 Hourly'!$A$1)</f>
        <v>1855.7261344608755</v>
      </c>
      <c r="M52" s="21">
        <f>('FREEVAL INPUT 2017 Hourly'!L51)*(1+$B$4)^($B$1-'FREEVAL INPUT 2017 Hourly'!$A$1)</f>
        <v>142.83015624225004</v>
      </c>
      <c r="N52" s="21">
        <f>('FREEVAL INPUT 2017 Hourly'!M51)*(1+$B$4)^($B$1-'FREEVAL INPUT 2017 Hourly'!$A$1)</f>
        <v>1712.8959782186255</v>
      </c>
      <c r="O52" s="21">
        <f>('FREEVAL INPUT 2017 Hourly'!N51)*(1+$B$4)^($B$1-'FREEVAL INPUT 2017 Hourly'!$A$1)</f>
        <v>739.73230173225022</v>
      </c>
      <c r="P52" s="21">
        <f>('FREEVAL INPUT 2017 Hourly'!O51)*(1+$B$4)^($B$1-'FREEVAL INPUT 2017 Hourly'!$A$1)</f>
        <v>2452.6282799508758</v>
      </c>
      <c r="Q52" s="115">
        <f>('FREEVAL INPUT 2017 Hourly'!P51)*(1+$B$4)^($B$1-'FREEVAL INPUT 2017 Hourly'!$A$1)</f>
        <v>104.45787546075003</v>
      </c>
      <c r="R52" s="37">
        <f>('FREEVAL INPUT 2017 Hourly'!Q51)*(1+$B$4)^($B$1-'FREEVAL INPUT 2017 Hourly'!$A$1)</f>
        <v>2348.1704044901257</v>
      </c>
    </row>
    <row r="53" spans="1:18" x14ac:dyDescent="0.25">
      <c r="B53" s="38">
        <f t="shared" si="1"/>
        <v>13774.582903870129</v>
      </c>
      <c r="C53" s="20">
        <v>0.58333333333333304</v>
      </c>
      <c r="D53" s="21">
        <f>('FREEVAL INPUT 2017 Hourly'!C52)*(1+$B$4)^($B$1-'FREEVAL INPUT 2017 Hourly'!$A$1)</f>
        <v>1447.4877028132503</v>
      </c>
      <c r="E53" s="21">
        <f>('FREEVAL INPUT 2017 Hourly'!D52)*(1+$B$4)^($B$1-'FREEVAL INPUT 2017 Hourly'!$A$1)</f>
        <v>150.29143306087505</v>
      </c>
      <c r="F53" s="21">
        <f>('FREEVAL INPUT 2017 Hourly'!E52)*(1+$B$4)^($B$1-'FREEVAL INPUT 2017 Hourly'!$A$1)</f>
        <v>1297.1962697523754</v>
      </c>
      <c r="G53" s="21">
        <f>('FREEVAL INPUT 2017 Hourly'!F52)*(1+$B$4)^($B$1-'FREEVAL INPUT 2017 Hourly'!$A$1)</f>
        <v>71.415078121125021</v>
      </c>
      <c r="H53" s="21">
        <f>('FREEVAL INPUT 2017 Hourly'!G52)*(1+$B$4)^($B$1-'FREEVAL INPUT 2017 Hourly'!$A$1)</f>
        <v>1368.6113478735003</v>
      </c>
      <c r="I53" s="21">
        <f>('FREEVAL INPUT 2017 Hourly'!H52)*(1+$B$4)^($B$1-'FREEVAL INPUT 2017 Hourly'!$A$1)</f>
        <v>231.29958137737506</v>
      </c>
      <c r="J53" s="21">
        <f>('FREEVAL INPUT 2017 Hourly'!I52)*(1+$B$4)^($B$1-'FREEVAL INPUT 2017 Hourly'!$A$1)</f>
        <v>1137.3117664961253</v>
      </c>
      <c r="K53" s="21">
        <f>('FREEVAL INPUT 2017 Hourly'!J52)*(1+$B$4)^($B$1-'FREEVAL INPUT 2017 Hourly'!$A$1)</f>
        <v>849.51966063487521</v>
      </c>
      <c r="L53" s="21">
        <f>('FREEVAL INPUT 2017 Hourly'!K52)*(1+$B$4)^($B$1-'FREEVAL INPUT 2017 Hourly'!$A$1)</f>
        <v>1986.8314271310005</v>
      </c>
      <c r="M53" s="21">
        <f>('FREEVAL INPUT 2017 Hourly'!L52)*(1+$B$4)^($B$1-'FREEVAL INPUT 2017 Hourly'!$A$1)</f>
        <v>120.44632578637503</v>
      </c>
      <c r="N53" s="21">
        <f>('FREEVAL INPUT 2017 Hourly'!M52)*(1+$B$4)^($B$1-'FREEVAL INPUT 2017 Hourly'!$A$1)</f>
        <v>1866.3851013446256</v>
      </c>
      <c r="O53" s="21">
        <f>('FREEVAL INPUT 2017 Hourly'!N52)*(1+$B$4)^($B$1-'FREEVAL INPUT 2017 Hourly'!$A$1)</f>
        <v>690.7010540670002</v>
      </c>
      <c r="P53" s="21">
        <f>('FREEVAL INPUT 2017 Hourly'!O52)*(1+$B$4)^($B$1-'FREEVAL INPUT 2017 Hourly'!$A$1)</f>
        <v>2557.0861554116259</v>
      </c>
      <c r="Q53" s="115">
        <f>('FREEVAL INPUT 2017 Hourly'!P52)*(1+$B$4)^($B$1-'FREEVAL INPUT 2017 Hourly'!$A$1)</f>
        <v>107.65556552587503</v>
      </c>
      <c r="R53" s="37">
        <f>('FREEVAL INPUT 2017 Hourly'!Q52)*(1+$B$4)^($B$1-'FREEVAL INPUT 2017 Hourly'!$A$1)</f>
        <v>2449.4305898857506</v>
      </c>
    </row>
    <row r="54" spans="1:18" x14ac:dyDescent="0.25">
      <c r="B54" s="38">
        <f t="shared" si="1"/>
        <v>14295.806384485504</v>
      </c>
      <c r="C54" s="20">
        <v>0.625</v>
      </c>
      <c r="D54" s="21">
        <f>('FREEVAL INPUT 2017 Hourly'!C53)*(1+$B$4)^($B$1-'FREEVAL INPUT 2017 Hourly'!$A$1)</f>
        <v>1507.1779173622504</v>
      </c>
      <c r="E54" s="21">
        <f>('FREEVAL INPUT 2017 Hourly'!D53)*(1+$B$4)^($B$1-'FREEVAL INPUT 2017 Hourly'!$A$1)</f>
        <v>170.54347014000004</v>
      </c>
      <c r="F54" s="21">
        <f>('FREEVAL INPUT 2017 Hourly'!E53)*(1+$B$4)^($B$1-'FREEVAL INPUT 2017 Hourly'!$A$1)</f>
        <v>1336.6344472222504</v>
      </c>
      <c r="G54" s="21">
        <f>('FREEVAL INPUT 2017 Hourly'!F53)*(1+$B$4)^($B$1-'FREEVAL INPUT 2017 Hourly'!$A$1)</f>
        <v>84.205838381625028</v>
      </c>
      <c r="H54" s="21">
        <f>('FREEVAL INPUT 2017 Hourly'!G53)*(1+$B$4)^($B$1-'FREEVAL INPUT 2017 Hourly'!$A$1)</f>
        <v>1420.8402856038754</v>
      </c>
      <c r="I54" s="21">
        <f>('FREEVAL INPUT 2017 Hourly'!H53)*(1+$B$4)^($B$1-'FREEVAL INPUT 2017 Hourly'!$A$1)</f>
        <v>253.68341183325006</v>
      </c>
      <c r="J54" s="21">
        <f>('FREEVAL INPUT 2017 Hourly'!I53)*(1+$B$4)^($B$1-'FREEVAL INPUT 2017 Hourly'!$A$1)</f>
        <v>1167.1568737706252</v>
      </c>
      <c r="K54" s="21">
        <f>('FREEVAL INPUT 2017 Hourly'!J53)*(1+$B$4)^($B$1-'FREEVAL INPUT 2017 Hourly'!$A$1)</f>
        <v>829.26762355575022</v>
      </c>
      <c r="L54" s="21">
        <f>('FREEVAL INPUT 2017 Hourly'!K53)*(1+$B$4)^($B$1-'FREEVAL INPUT 2017 Hourly'!$A$1)</f>
        <v>1996.4244973263756</v>
      </c>
      <c r="M54" s="21">
        <f>('FREEVAL INPUT 2017 Hourly'!L53)*(1+$B$4)^($B$1-'FREEVAL INPUT 2017 Hourly'!$A$1)</f>
        <v>157.75270987950003</v>
      </c>
      <c r="N54" s="21">
        <f>('FREEVAL INPUT 2017 Hourly'!M53)*(1+$B$4)^($B$1-'FREEVAL INPUT 2017 Hourly'!$A$1)</f>
        <v>1838.6717874468754</v>
      </c>
      <c r="O54" s="21">
        <f>('FREEVAL INPUT 2017 Hourly'!N53)*(1+$B$4)^($B$1-'FREEVAL INPUT 2017 Hourly'!$A$1)</f>
        <v>847.3878672581252</v>
      </c>
      <c r="P54" s="21">
        <f>('FREEVAL INPUT 2017 Hourly'!O53)*(1+$B$4)^($B$1-'FREEVAL INPUT 2017 Hourly'!$A$1)</f>
        <v>2686.0596547050009</v>
      </c>
      <c r="Q54" s="115">
        <f>('FREEVAL INPUT 2017 Hourly'!P53)*(1+$B$4)^($B$1-'FREEVAL INPUT 2017 Hourly'!$A$1)</f>
        <v>110.85325559100004</v>
      </c>
      <c r="R54" s="37">
        <f>('FREEVAL INPUT 2017 Hourly'!Q53)*(1+$B$4)^($B$1-'FREEVAL INPUT 2017 Hourly'!$A$1)</f>
        <v>2575.2063991140008</v>
      </c>
    </row>
    <row r="55" spans="1:18" s="51" customFormat="1" x14ac:dyDescent="0.25">
      <c r="A55" s="102" t="s">
        <v>242</v>
      </c>
      <c r="B55" s="39">
        <f t="shared" si="1"/>
        <v>15726.942102204126</v>
      </c>
      <c r="C55" s="40">
        <v>0.66666666666666696</v>
      </c>
      <c r="D55" s="44">
        <f>('FREEVAL INPUT 2017 Hourly'!C54)*(1+$B$4)^($B$1-'FREEVAL INPUT 2017 Hourly'!$A$1)</f>
        <v>1531.6935411948755</v>
      </c>
      <c r="E55" s="44">
        <v>215</v>
      </c>
      <c r="F55" s="44">
        <v>1317</v>
      </c>
      <c r="G55" s="44">
        <v>342</v>
      </c>
      <c r="H55" s="44">
        <v>1659</v>
      </c>
      <c r="I55" s="44">
        <v>278</v>
      </c>
      <c r="J55" s="44">
        <v>1381</v>
      </c>
      <c r="K55" s="44">
        <f>('FREEVAL INPUT 2017 Hourly'!J54)*(1+$B$4)^($B$1-'FREEVAL INPUT 2017 Hourly'!$A$1)</f>
        <v>865.50811096050029</v>
      </c>
      <c r="L55" s="44">
        <v>2247</v>
      </c>
      <c r="M55" s="44">
        <v>245</v>
      </c>
      <c r="N55" s="44">
        <v>2002</v>
      </c>
      <c r="O55" s="44">
        <f>('FREEVAL INPUT 2017 Hourly'!N54)*(1+$B$4)^($B$1-'FREEVAL INPUT 2017 Hourly'!$A$1)</f>
        <v>820.74045004875018</v>
      </c>
      <c r="P55" s="44">
        <v>2823</v>
      </c>
      <c r="Q55" s="45">
        <v>106</v>
      </c>
      <c r="R55" s="45">
        <v>2717</v>
      </c>
    </row>
    <row r="56" spans="1:18" x14ac:dyDescent="0.25">
      <c r="B56" s="38">
        <f t="shared" si="1"/>
        <v>14343.771735462378</v>
      </c>
      <c r="C56" s="20">
        <v>0.70833333333333304</v>
      </c>
      <c r="D56" s="21">
        <f>('FREEVAL INPUT 2017 Hourly'!C55)*(1+$B$4)^($B$1-'FREEVAL INPUT 2017 Hourly'!$A$1)</f>
        <v>1525.2981610646254</v>
      </c>
      <c r="E56" s="21">
        <f>('FREEVAL INPUT 2017 Hourly'!D55)*(1+$B$4)^($B$1-'FREEVAL INPUT 2017 Hourly'!$A$1)</f>
        <v>214.24523436337506</v>
      </c>
      <c r="F56" s="21">
        <f>('FREEVAL INPUT 2017 Hourly'!E55)*(1+$B$4)^($B$1-'FREEVAL INPUT 2017 Hourly'!$A$1)</f>
        <v>1311.0529267012503</v>
      </c>
      <c r="G56" s="21">
        <f>('FREEVAL INPUT 2017 Hourly'!F55)*(1+$B$4)^($B$1-'FREEVAL INPUT 2017 Hourly'!$A$1)</f>
        <v>111.91915227937503</v>
      </c>
      <c r="H56" s="21">
        <f>('FREEVAL INPUT 2017 Hourly'!G55)*(1+$B$4)^($B$1-'FREEVAL INPUT 2017 Hourly'!$A$1)</f>
        <v>1422.9720789806254</v>
      </c>
      <c r="I56" s="21">
        <f>('FREEVAL INPUT 2017 Hourly'!H55)*(1+$B$4)^($B$1-'FREEVAL INPUT 2017 Hourly'!$A$1)</f>
        <v>280.33082904262506</v>
      </c>
      <c r="J56" s="21">
        <f>('FREEVAL INPUT 2017 Hourly'!I55)*(1+$B$4)^($B$1-'FREEVAL INPUT 2017 Hourly'!$A$1)</f>
        <v>1142.6412499380003</v>
      </c>
      <c r="K56" s="21">
        <f>('FREEVAL INPUT 2017 Hourly'!J55)*(1+$B$4)^($B$1-'FREEVAL INPUT 2017 Hourly'!$A$1)</f>
        <v>897.48501161175022</v>
      </c>
      <c r="L56" s="21">
        <f>('FREEVAL INPUT 2017 Hourly'!K55)*(1+$B$4)^($B$1-'FREEVAL INPUT 2017 Hourly'!$A$1)</f>
        <v>2040.1262615497506</v>
      </c>
      <c r="M56" s="21">
        <f>('FREEVAL INPUT 2017 Hourly'!L55)*(1+$B$4)^($B$1-'FREEVAL INPUT 2017 Hourly'!$A$1)</f>
        <v>240.89265157275005</v>
      </c>
      <c r="N56" s="21">
        <f>('FREEVAL INPUT 2017 Hourly'!M55)*(1+$B$4)^($B$1-'FREEVAL INPUT 2017 Hourly'!$A$1)</f>
        <v>1799.2336099770005</v>
      </c>
      <c r="O56" s="21">
        <f>('FREEVAL INPUT 2017 Hourly'!N55)*(1+$B$4)^($B$1-'FREEVAL INPUT 2017 Hourly'!$A$1)</f>
        <v>779.17047920212519</v>
      </c>
      <c r="P56" s="21">
        <f>('FREEVAL INPUT 2017 Hourly'!O55)*(1+$B$4)^($B$1-'FREEVAL INPUT 2017 Hourly'!$A$1)</f>
        <v>2578.4040891791255</v>
      </c>
      <c r="Q56" s="115">
        <f>('FREEVAL INPUT 2017 Hourly'!P55)*(1+$B$4)^($B$1-'FREEVAL INPUT 2017 Hourly'!$A$1)</f>
        <v>101.26018539562503</v>
      </c>
      <c r="R56" s="37">
        <f>('FREEVAL INPUT 2017 Hourly'!Q55)*(1+$B$4)^($B$1-'FREEVAL INPUT 2017 Hourly'!$A$1)</f>
        <v>2477.1439037835007</v>
      </c>
    </row>
    <row r="57" spans="1:18" x14ac:dyDescent="0.25">
      <c r="B57" s="38">
        <f t="shared" si="1"/>
        <v>10959.549749871752</v>
      </c>
      <c r="C57" s="20">
        <v>0.749999999999999</v>
      </c>
      <c r="D57" s="21">
        <f>('FREEVAL INPUT 2017 Hourly'!C56)*(1+$B$4)^($B$1-'FREEVAL INPUT 2017 Hourly'!$A$1)</f>
        <v>1097.8735890262503</v>
      </c>
      <c r="E57" s="21">
        <f>('FREEVAL INPUT 2017 Hourly'!D56)*(1+$B$4)^($B$1-'FREEVAL INPUT 2017 Hourly'!$A$1)</f>
        <v>127.90760260500004</v>
      </c>
      <c r="F57" s="21">
        <f>('FREEVAL INPUT 2017 Hourly'!E56)*(1+$B$4)^($B$1-'FREEVAL INPUT 2017 Hourly'!$A$1)</f>
        <v>969.96598642125025</v>
      </c>
      <c r="G57" s="21">
        <f>('FREEVAL INPUT 2017 Hourly'!F56)*(1+$B$4)^($B$1-'FREEVAL INPUT 2017 Hourly'!$A$1)</f>
        <v>79.942251628125021</v>
      </c>
      <c r="H57" s="21">
        <f>('FREEVAL INPUT 2017 Hourly'!G56)*(1+$B$4)^($B$1-'FREEVAL INPUT 2017 Hourly'!$A$1)</f>
        <v>1049.9082380493753</v>
      </c>
      <c r="I57" s="21">
        <f>('FREEVAL INPUT 2017 Hourly'!H56)*(1+$B$4)^($B$1-'FREEVAL INPUT 2017 Hourly'!$A$1)</f>
        <v>246.22213501462505</v>
      </c>
      <c r="J57" s="21">
        <f>('FREEVAL INPUT 2017 Hourly'!I56)*(1+$B$4)^($B$1-'FREEVAL INPUT 2017 Hourly'!$A$1)</f>
        <v>803.6861030347502</v>
      </c>
      <c r="K57" s="21">
        <f>('FREEVAL INPUT 2017 Hourly'!J56)*(1+$B$4)^($B$1-'FREEVAL INPUT 2017 Hourly'!$A$1)</f>
        <v>742.92999179737524</v>
      </c>
      <c r="L57" s="21">
        <f>('FREEVAL INPUT 2017 Hourly'!K56)*(1+$B$4)^($B$1-'FREEVAL INPUT 2017 Hourly'!$A$1)</f>
        <v>1546.6160948321253</v>
      </c>
      <c r="M57" s="21">
        <f>('FREEVAL INPUT 2017 Hourly'!L56)*(1+$B$4)^($B$1-'FREEVAL INPUT 2017 Hourly'!$A$1)</f>
        <v>152.42322643762503</v>
      </c>
      <c r="N57" s="21">
        <f>('FREEVAL INPUT 2017 Hourly'!M56)*(1+$B$4)^($B$1-'FREEVAL INPUT 2017 Hourly'!$A$1)</f>
        <v>1394.1928683945005</v>
      </c>
      <c r="O57" s="21">
        <f>('FREEVAL INPUT 2017 Hourly'!N56)*(1+$B$4)^($B$1-'FREEVAL INPUT 2017 Hourly'!$A$1)</f>
        <v>676.84439711812513</v>
      </c>
      <c r="P57" s="21">
        <f>('FREEVAL INPUT 2017 Hourly'!O56)*(1+$B$4)^($B$1-'FREEVAL INPUT 2017 Hourly'!$A$1)</f>
        <v>2071.0372655126257</v>
      </c>
      <c r="Q57" s="115">
        <f>('FREEVAL INPUT 2017 Hourly'!P56)*(1+$B$4)^($B$1-'FREEVAL INPUT 2017 Hourly'!$A$1)</f>
        <v>81.008148316500026</v>
      </c>
      <c r="R57" s="37">
        <f>('FREEVAL INPUT 2017 Hourly'!Q56)*(1+$B$4)^($B$1-'FREEVAL INPUT 2017 Hourly'!$A$1)</f>
        <v>1990.0291171961255</v>
      </c>
    </row>
    <row r="58" spans="1:18" x14ac:dyDescent="0.25">
      <c r="B58" s="38">
        <f t="shared" si="1"/>
        <v>8586.8637215490035</v>
      </c>
      <c r="C58" s="20">
        <v>0.79166666666666496</v>
      </c>
      <c r="D58" s="21">
        <f>('FREEVAL INPUT 2017 Hourly'!C57)*(1+$B$4)^($B$1-'FREEVAL INPUT 2017 Hourly'!$A$1)</f>
        <v>814.34506991850026</v>
      </c>
      <c r="E58" s="21">
        <f>('FREEVAL INPUT 2017 Hourly'!D57)*(1+$B$4)^($B$1-'FREEVAL INPUT 2017 Hourly'!$A$1)</f>
        <v>74.612768186250022</v>
      </c>
      <c r="F58" s="21">
        <f>('FREEVAL INPUT 2017 Hourly'!E57)*(1+$B$4)^($B$1-'FREEVAL INPUT 2017 Hourly'!$A$1)</f>
        <v>739.73230173225022</v>
      </c>
      <c r="G58" s="21">
        <f>('FREEVAL INPUT 2017 Hourly'!F57)*(1+$B$4)^($B$1-'FREEVAL INPUT 2017 Hourly'!$A$1)</f>
        <v>54.360731107125012</v>
      </c>
      <c r="H58" s="21">
        <f>('FREEVAL INPUT 2017 Hourly'!G57)*(1+$B$4)^($B$1-'FREEVAL INPUT 2017 Hourly'!$A$1)</f>
        <v>794.09303283937527</v>
      </c>
      <c r="I58" s="21">
        <f>('FREEVAL INPUT 2017 Hourly'!H57)*(1+$B$4)^($B$1-'FREEVAL INPUT 2017 Hourly'!$A$1)</f>
        <v>152.42322643762503</v>
      </c>
      <c r="J58" s="21">
        <f>('FREEVAL INPUT 2017 Hourly'!I57)*(1+$B$4)^($B$1-'FREEVAL INPUT 2017 Hourly'!$A$1)</f>
        <v>641.66980640175018</v>
      </c>
      <c r="K58" s="21">
        <f>('FREEVAL INPUT 2017 Hourly'!J57)*(1+$B$4)^($B$1-'FREEVAL INPUT 2017 Hourly'!$A$1)</f>
        <v>606.49521568537511</v>
      </c>
      <c r="L58" s="21">
        <f>('FREEVAL INPUT 2017 Hourly'!K57)*(1+$B$4)^($B$1-'FREEVAL INPUT 2017 Hourly'!$A$1)</f>
        <v>1248.1650220871254</v>
      </c>
      <c r="M58" s="21">
        <f>('FREEVAL INPUT 2017 Hourly'!L57)*(1+$B$4)^($B$1-'FREEVAL INPUT 2017 Hourly'!$A$1)</f>
        <v>124.70991253987503</v>
      </c>
      <c r="N58" s="21">
        <f>('FREEVAL INPUT 2017 Hourly'!M57)*(1+$B$4)^($B$1-'FREEVAL INPUT 2017 Hourly'!$A$1)</f>
        <v>1123.4551095472502</v>
      </c>
      <c r="O58" s="21">
        <f>('FREEVAL INPUT 2017 Hourly'!N57)*(1+$B$4)^($B$1-'FREEVAL INPUT 2017 Hourly'!$A$1)</f>
        <v>544.67320775962514</v>
      </c>
      <c r="P58" s="21">
        <f>('FREEVAL INPUT 2017 Hourly'!O57)*(1+$B$4)^($B$1-'FREEVAL INPUT 2017 Hourly'!$A$1)</f>
        <v>1668.1283173068755</v>
      </c>
      <c r="Q58" s="115">
        <f>('FREEVAL INPUT 2017 Hourly'!P57)*(1+$B$4)^($B$1-'FREEVAL INPUT 2017 Hourly'!$A$1)</f>
        <v>63.953801302500018</v>
      </c>
      <c r="R58" s="37">
        <f>('FREEVAL INPUT 2017 Hourly'!Q57)*(1+$B$4)^($B$1-'FREEVAL INPUT 2017 Hourly'!$A$1)</f>
        <v>1604.1745160043754</v>
      </c>
    </row>
    <row r="59" spans="1:18" x14ac:dyDescent="0.25">
      <c r="B59" s="38">
        <f t="shared" si="1"/>
        <v>7576.393660969502</v>
      </c>
      <c r="C59" s="20">
        <v>0.83333333333333104</v>
      </c>
      <c r="D59" s="21">
        <f>('FREEVAL INPUT 2017 Hourly'!C58)*(1+$B$4)^($B$1-'FREEVAL INPUT 2017 Hourly'!$A$1)</f>
        <v>721.61205802987524</v>
      </c>
      <c r="E59" s="21">
        <f>('FREEVAL INPUT 2017 Hourly'!D58)*(1+$B$4)^($B$1-'FREEVAL INPUT 2017 Hourly'!$A$1)</f>
        <v>67.151491367625013</v>
      </c>
      <c r="F59" s="21">
        <f>('FREEVAL INPUT 2017 Hourly'!E58)*(1+$B$4)^($B$1-'FREEVAL INPUT 2017 Hourly'!$A$1)</f>
        <v>654.46056666225013</v>
      </c>
      <c r="G59" s="21">
        <f>('FREEVAL INPUT 2017 Hourly'!F58)*(1+$B$4)^($B$1-'FREEVAL INPUT 2017 Hourly'!$A$1)</f>
        <v>50.097144353625012</v>
      </c>
      <c r="H59" s="21">
        <f>('FREEVAL INPUT 2017 Hourly'!G58)*(1+$B$4)^($B$1-'FREEVAL INPUT 2017 Hourly'!$A$1)</f>
        <v>704.55771101587516</v>
      </c>
      <c r="I59" s="21">
        <f>('FREEVAL INPUT 2017 Hourly'!H58)*(1+$B$4)^($B$1-'FREEVAL INPUT 2017 Hourly'!$A$1)</f>
        <v>118.31453240962503</v>
      </c>
      <c r="J59" s="21">
        <f>('FREEVAL INPUT 2017 Hourly'!I58)*(1+$B$4)^($B$1-'FREEVAL INPUT 2017 Hourly'!$A$1)</f>
        <v>586.24317860625013</v>
      </c>
      <c r="K59" s="21">
        <f>('FREEVAL INPUT 2017 Hourly'!J58)*(1+$B$4)^($B$1-'FREEVAL INPUT 2017 Hourly'!$A$1)</f>
        <v>529.75065412237518</v>
      </c>
      <c r="L59" s="21">
        <f>('FREEVAL INPUT 2017 Hourly'!K58)*(1+$B$4)^($B$1-'FREEVAL INPUT 2017 Hourly'!$A$1)</f>
        <v>1115.9938327286252</v>
      </c>
      <c r="M59" s="21">
        <f>('FREEVAL INPUT 2017 Hourly'!L58)*(1+$B$4)^($B$1-'FREEVAL INPUT 2017 Hourly'!$A$1)</f>
        <v>96.996598642125022</v>
      </c>
      <c r="N59" s="21">
        <f>('FREEVAL INPUT 2017 Hourly'!M58)*(1+$B$4)^($B$1-'FREEVAL INPUT 2017 Hourly'!$A$1)</f>
        <v>1018.9972340865003</v>
      </c>
      <c r="O59" s="21">
        <f>('FREEVAL INPUT 2017 Hourly'!N58)*(1+$B$4)^($B$1-'FREEVAL INPUT 2017 Hourly'!$A$1)</f>
        <v>446.6107124291251</v>
      </c>
      <c r="P59" s="21">
        <f>('FREEVAL INPUT 2017 Hourly'!O58)*(1+$B$4)^($B$1-'FREEVAL INPUT 2017 Hourly'!$A$1)</f>
        <v>1465.6079465156254</v>
      </c>
      <c r="Q59" s="115">
        <f>('FREEVAL INPUT 2017 Hourly'!P58)*(1+$B$4)^($B$1-'FREEVAL INPUT 2017 Hourly'!$A$1)</f>
        <v>51.163041042000017</v>
      </c>
      <c r="R59" s="37">
        <f>('FREEVAL INPUT 2017 Hourly'!Q58)*(1+$B$4)^($B$1-'FREEVAL INPUT 2017 Hourly'!$A$1)</f>
        <v>1414.4449054736253</v>
      </c>
    </row>
    <row r="60" spans="1:18" x14ac:dyDescent="0.25">
      <c r="B60" s="38">
        <f t="shared" si="1"/>
        <v>5550.124056368626</v>
      </c>
      <c r="C60" s="20">
        <v>0.874999999999997</v>
      </c>
      <c r="D60" s="21">
        <f>('FREEVAL INPUT 2017 Hourly'!C59)*(1+$B$4)^($B$1-'FREEVAL INPUT 2017 Hourly'!$A$1)</f>
        <v>508.43272035487513</v>
      </c>
      <c r="E60" s="21">
        <f>('FREEVAL INPUT 2017 Hourly'!D59)*(1+$B$4)^($B$1-'FREEVAL INPUT 2017 Hourly'!$A$1)</f>
        <v>36.240487404750013</v>
      </c>
      <c r="F60" s="21">
        <f>('FREEVAL INPUT 2017 Hourly'!E59)*(1+$B$4)^($B$1-'FREEVAL INPUT 2017 Hourly'!$A$1)</f>
        <v>472.19223295012512</v>
      </c>
      <c r="G60" s="21">
        <f>('FREEVAL INPUT 2017 Hourly'!F59)*(1+$B$4)^($B$1-'FREEVAL INPUT 2017 Hourly'!$A$1)</f>
        <v>24.515623832625007</v>
      </c>
      <c r="H60" s="21">
        <f>('FREEVAL INPUT 2017 Hourly'!G59)*(1+$B$4)^($B$1-'FREEVAL INPUT 2017 Hourly'!$A$1)</f>
        <v>496.70785678275013</v>
      </c>
      <c r="I60" s="21">
        <f>('FREEVAL INPUT 2017 Hourly'!H59)*(1+$B$4)^($B$1-'FREEVAL INPUT 2017 Hourly'!$A$1)</f>
        <v>79.942251628125021</v>
      </c>
      <c r="J60" s="21">
        <f>('FREEVAL INPUT 2017 Hourly'!I59)*(1+$B$4)^($B$1-'FREEVAL INPUT 2017 Hourly'!$A$1)</f>
        <v>416.76560515462512</v>
      </c>
      <c r="K60" s="21">
        <f>('FREEVAL INPUT 2017 Hourly'!J59)*(1+$B$4)^($B$1-'FREEVAL INPUT 2017 Hourly'!$A$1)</f>
        <v>432.75405548025014</v>
      </c>
      <c r="L60" s="21">
        <f>('FREEVAL INPUT 2017 Hourly'!K59)*(1+$B$4)^($B$1-'FREEVAL INPUT 2017 Hourly'!$A$1)</f>
        <v>849.51966063487521</v>
      </c>
      <c r="M60" s="21">
        <f>('FREEVAL INPUT 2017 Hourly'!L59)*(1+$B$4)^($B$1-'FREEVAL INPUT 2017 Hourly'!$A$1)</f>
        <v>58.624317860625013</v>
      </c>
      <c r="N60" s="21">
        <f>('FREEVAL INPUT 2017 Hourly'!M59)*(1+$B$4)^($B$1-'FREEVAL INPUT 2017 Hourly'!$A$1)</f>
        <v>790.89534277425025</v>
      </c>
      <c r="O60" s="21">
        <f>('FREEVAL INPUT 2017 Hourly'!N59)*(1+$B$4)^($B$1-'FREEVAL INPUT 2017 Hourly'!$A$1)</f>
        <v>296.31927936825008</v>
      </c>
      <c r="P60" s="21">
        <f>('FREEVAL INPUT 2017 Hourly'!O59)*(1+$B$4)^($B$1-'FREEVAL INPUT 2017 Hourly'!$A$1)</f>
        <v>1087.2146221425003</v>
      </c>
      <c r="Q60" s="115">
        <f>('FREEVAL INPUT 2017 Hourly'!P59)*(1+$B$4)^($B$1-'FREEVAL INPUT 2017 Hourly'!$A$1)</f>
        <v>41.569970846625012</v>
      </c>
      <c r="R60" s="37">
        <f>('FREEVAL INPUT 2017 Hourly'!Q59)*(1+$B$4)^($B$1-'FREEVAL INPUT 2017 Hourly'!$A$1)</f>
        <v>1045.6446512958753</v>
      </c>
    </row>
    <row r="61" spans="1:18" x14ac:dyDescent="0.25">
      <c r="B61" s="38">
        <f t="shared" si="1"/>
        <v>3872.4026688663762</v>
      </c>
      <c r="C61" s="20">
        <v>0.91666666666666297</v>
      </c>
      <c r="D61" s="21">
        <f>('FREEVAL INPUT 2017 Hourly'!C60)*(1+$B$4)^($B$1-'FREEVAL INPUT 2017 Hourly'!$A$1)</f>
        <v>367.7343574893751</v>
      </c>
      <c r="E61" s="21">
        <f>('FREEVAL INPUT 2017 Hourly'!D60)*(1+$B$4)^($B$1-'FREEVAL INPUT 2017 Hourly'!$A$1)</f>
        <v>25.581520521000009</v>
      </c>
      <c r="F61" s="21">
        <f>('FREEVAL INPUT 2017 Hourly'!E60)*(1+$B$4)^($B$1-'FREEVAL INPUT 2017 Hourly'!$A$1)</f>
        <v>342.15283696837508</v>
      </c>
      <c r="G61" s="21">
        <f>('FREEVAL INPUT 2017 Hourly'!F60)*(1+$B$4)^($B$1-'FREEVAL INPUT 2017 Hourly'!$A$1)</f>
        <v>18.120243702375006</v>
      </c>
      <c r="H61" s="21">
        <f>('FREEVAL INPUT 2017 Hourly'!G60)*(1+$B$4)^($B$1-'FREEVAL INPUT 2017 Hourly'!$A$1)</f>
        <v>360.27308067075012</v>
      </c>
      <c r="I61" s="21">
        <f>('FREEVAL INPUT 2017 Hourly'!H60)*(1+$B$4)^($B$1-'FREEVAL INPUT 2017 Hourly'!$A$1)</f>
        <v>42.63586753500001</v>
      </c>
      <c r="J61" s="21">
        <f>('FREEVAL INPUT 2017 Hourly'!I60)*(1+$B$4)^($B$1-'FREEVAL INPUT 2017 Hourly'!$A$1)</f>
        <v>317.63721313575007</v>
      </c>
      <c r="K61" s="21">
        <f>('FREEVAL INPUT 2017 Hourly'!J60)*(1+$B$4)^($B$1-'FREEVAL INPUT 2017 Hourly'!$A$1)</f>
        <v>265.40827540537509</v>
      </c>
      <c r="L61" s="21">
        <f>('FREEVAL INPUT 2017 Hourly'!K60)*(1+$B$4)^($B$1-'FREEVAL INPUT 2017 Hourly'!$A$1)</f>
        <v>583.04548854112511</v>
      </c>
      <c r="M61" s="21">
        <f>('FREEVAL INPUT 2017 Hourly'!L60)*(1+$B$4)^($B$1-'FREEVAL INPUT 2017 Hourly'!$A$1)</f>
        <v>38.37228078150001</v>
      </c>
      <c r="N61" s="21">
        <f>('FREEVAL INPUT 2017 Hourly'!M60)*(1+$B$4)^($B$1-'FREEVAL INPUT 2017 Hourly'!$A$1)</f>
        <v>544.67320775962514</v>
      </c>
      <c r="O61" s="21">
        <f>('FREEVAL INPUT 2017 Hourly'!N60)*(1+$B$4)^($B$1-'FREEVAL INPUT 2017 Hourly'!$A$1)</f>
        <v>211.04754429825005</v>
      </c>
      <c r="P61" s="21">
        <f>('FREEVAL INPUT 2017 Hourly'!O60)*(1+$B$4)^($B$1-'FREEVAL INPUT 2017 Hourly'!$A$1)</f>
        <v>755.72075205787519</v>
      </c>
      <c r="Q61" s="115">
        <f>('FREEVAL INPUT 2017 Hourly'!P60)*(1+$B$4)^($B$1-'FREEVAL INPUT 2017 Hourly'!$A$1)</f>
        <v>31.976900651250009</v>
      </c>
      <c r="R61" s="37">
        <f>('FREEVAL INPUT 2017 Hourly'!Q60)*(1+$B$4)^($B$1-'FREEVAL INPUT 2017 Hourly'!$A$1)</f>
        <v>723.74385140662514</v>
      </c>
    </row>
    <row r="62" spans="1:18" x14ac:dyDescent="0.25">
      <c r="B62" s="38">
        <f t="shared" si="1"/>
        <v>2615.710473272251</v>
      </c>
      <c r="C62" s="20">
        <v>0.95833333333333004</v>
      </c>
      <c r="D62" s="21">
        <f>('FREEVAL INPUT 2017 Hourly'!C61)*(1+$B$4)^($B$1-'FREEVAL INPUT 2017 Hourly'!$A$1)</f>
        <v>286.72620917287509</v>
      </c>
      <c r="E62" s="21">
        <f>('FREEVAL INPUT 2017 Hourly'!D61)*(1+$B$4)^($B$1-'FREEVAL INPUT 2017 Hourly'!$A$1)</f>
        <v>15.988450325625005</v>
      </c>
      <c r="F62" s="21">
        <f>('FREEVAL INPUT 2017 Hourly'!E61)*(1+$B$4)^($B$1-'FREEVAL INPUT 2017 Hourly'!$A$1)</f>
        <v>270.73775884725006</v>
      </c>
      <c r="G62" s="21">
        <f>('FREEVAL INPUT 2017 Hourly'!F61)*(1+$B$4)^($B$1-'FREEVAL INPUT 2017 Hourly'!$A$1)</f>
        <v>10.658966883750002</v>
      </c>
      <c r="H62" s="21">
        <f>('FREEVAL INPUT 2017 Hourly'!G61)*(1+$B$4)^($B$1-'FREEVAL INPUT 2017 Hourly'!$A$1)</f>
        <v>281.39672573100006</v>
      </c>
      <c r="I62" s="21">
        <f>('FREEVAL INPUT 2017 Hourly'!H61)*(1+$B$4)^($B$1-'FREEVAL INPUT 2017 Hourly'!$A$1)</f>
        <v>43.701764223375015</v>
      </c>
      <c r="J62" s="21">
        <f>('FREEVAL INPUT 2017 Hourly'!I61)*(1+$B$4)^($B$1-'FREEVAL INPUT 2017 Hourly'!$A$1)</f>
        <v>237.69496150762507</v>
      </c>
      <c r="K62" s="21">
        <f>('FREEVAL INPUT 2017 Hourly'!J61)*(1+$B$4)^($B$1-'FREEVAL INPUT 2017 Hourly'!$A$1)</f>
        <v>152.42322643762503</v>
      </c>
      <c r="L62" s="21">
        <f>('FREEVAL INPUT 2017 Hourly'!K61)*(1+$B$4)^($B$1-'FREEVAL INPUT 2017 Hourly'!$A$1)</f>
        <v>390.1181879452501</v>
      </c>
      <c r="M62" s="21">
        <f>('FREEVAL INPUT 2017 Hourly'!L61)*(1+$B$4)^($B$1-'FREEVAL INPUT 2017 Hourly'!$A$1)</f>
        <v>22.383830455875007</v>
      </c>
      <c r="N62" s="21">
        <f>('FREEVAL INPUT 2017 Hourly'!M61)*(1+$B$4)^($B$1-'FREEVAL INPUT 2017 Hourly'!$A$1)</f>
        <v>367.7343574893751</v>
      </c>
      <c r="O62" s="21">
        <f>('FREEVAL INPUT 2017 Hourly'!N61)*(1+$B$4)^($B$1-'FREEVAL INPUT 2017 Hourly'!$A$1)</f>
        <v>84.205838381625028</v>
      </c>
      <c r="P62" s="21">
        <f>('FREEVAL INPUT 2017 Hourly'!O61)*(1+$B$4)^($B$1-'FREEVAL INPUT 2017 Hourly'!$A$1)</f>
        <v>451.94019587100013</v>
      </c>
      <c r="Q62" s="115">
        <f>('FREEVAL INPUT 2017 Hourly'!P61)*(1+$B$4)^($B$1-'FREEVAL INPUT 2017 Hourly'!$A$1)</f>
        <v>24.515623832625007</v>
      </c>
      <c r="R62" s="37">
        <f>('FREEVAL INPUT 2017 Hourly'!Q61)*(1+$B$4)^($B$1-'FREEVAL INPUT 2017 Hourly'!$A$1)</f>
        <v>427.42457203837512</v>
      </c>
    </row>
    <row r="63" spans="1:18" x14ac:dyDescent="0.25">
      <c r="B63" s="167" t="s">
        <v>235</v>
      </c>
      <c r="C63" s="167"/>
      <c r="D63" s="167"/>
      <c r="E63" s="167"/>
      <c r="F63" s="167"/>
      <c r="G63" s="167"/>
      <c r="H63" s="167"/>
      <c r="Q63" s="37"/>
      <c r="R63" s="37"/>
    </row>
    <row r="64" spans="1:18" s="84" customFormat="1" x14ac:dyDescent="0.25">
      <c r="A64" s="82"/>
      <c r="B64" s="83"/>
      <c r="C64" s="22" t="s">
        <v>255</v>
      </c>
      <c r="D64" s="22"/>
      <c r="E64" s="22"/>
      <c r="F64" s="22"/>
      <c r="Q64" s="37"/>
      <c r="R64" s="37"/>
    </row>
    <row r="65" spans="1:3" s="81" customFormat="1" x14ac:dyDescent="0.25">
      <c r="A65" s="79"/>
      <c r="B65" s="95"/>
      <c r="C65" s="80" t="s">
        <v>257</v>
      </c>
    </row>
  </sheetData>
  <mergeCells count="2">
    <mergeCell ref="B63:H63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5"/>
  <sheetViews>
    <sheetView topLeftCell="D1" zoomScale="70" zoomScaleNormal="70" workbookViewId="0">
      <selection activeCell="F10" sqref="F10"/>
    </sheetView>
  </sheetViews>
  <sheetFormatPr defaultRowHeight="15" x14ac:dyDescent="0.25"/>
  <cols>
    <col min="1" max="1" width="2" style="77" bestFit="1" customWidth="1"/>
    <col min="2" max="2" width="23.85546875" bestFit="1" customWidth="1"/>
    <col min="3" max="3" width="18.85546875" bestFit="1" customWidth="1"/>
    <col min="4" max="4" width="35.7109375" bestFit="1" customWidth="1"/>
    <col min="5" max="5" width="33.42578125" bestFit="1" customWidth="1"/>
    <col min="6" max="6" width="48" bestFit="1" customWidth="1"/>
    <col min="7" max="7" width="36.7109375" bestFit="1" customWidth="1"/>
    <col min="8" max="8" width="33" bestFit="1" customWidth="1"/>
    <col min="9" max="9" width="40.140625" bestFit="1" customWidth="1"/>
    <col min="10" max="10" width="32.85546875" bestFit="1" customWidth="1"/>
    <col min="11" max="11" width="35.7109375" bestFit="1" customWidth="1"/>
    <col min="12" max="12" width="23.42578125" bestFit="1" customWidth="1"/>
    <col min="13" max="13" width="31.7109375" bestFit="1" customWidth="1"/>
    <col min="14" max="14" width="23.42578125" bestFit="1" customWidth="1"/>
    <col min="15" max="15" width="35.7109375" bestFit="1" customWidth="1"/>
    <col min="16" max="16" width="32.85546875" bestFit="1" customWidth="1"/>
    <col min="17" max="17" width="40.140625" bestFit="1" customWidth="1"/>
    <col min="18" max="18" width="35.7109375" bestFit="1" customWidth="1"/>
    <col min="19" max="19" width="36.7109375" bestFit="1" customWidth="1"/>
  </cols>
  <sheetData>
    <row r="1" spans="1:19" x14ac:dyDescent="0.25">
      <c r="B1" s="14">
        <v>2023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B2" t="s">
        <v>39</v>
      </c>
      <c r="C2" s="16"/>
      <c r="D2" s="17">
        <v>1</v>
      </c>
      <c r="E2" s="17">
        <v>2</v>
      </c>
      <c r="F2" s="17">
        <v>3</v>
      </c>
      <c r="G2" s="17">
        <v>4</v>
      </c>
      <c r="H2" s="17">
        <v>5</v>
      </c>
      <c r="I2" s="17">
        <v>6</v>
      </c>
      <c r="J2" s="17">
        <v>7</v>
      </c>
      <c r="K2" s="17">
        <v>8</v>
      </c>
      <c r="L2" s="17">
        <v>9</v>
      </c>
      <c r="M2" s="17">
        <v>10</v>
      </c>
      <c r="N2" s="17">
        <v>11</v>
      </c>
      <c r="O2" s="17">
        <v>12</v>
      </c>
      <c r="P2" s="17">
        <v>13</v>
      </c>
      <c r="Q2" s="17">
        <v>14</v>
      </c>
      <c r="R2" s="17">
        <v>15</v>
      </c>
      <c r="S2" s="17">
        <v>16</v>
      </c>
    </row>
    <row r="3" spans="1:19" x14ac:dyDescent="0.25">
      <c r="B3" s="75" t="s">
        <v>212</v>
      </c>
      <c r="C3" s="16" t="s">
        <v>203</v>
      </c>
      <c r="D3" s="16" t="s">
        <v>252</v>
      </c>
      <c r="E3" s="94" t="s">
        <v>251</v>
      </c>
      <c r="F3" s="16" t="s">
        <v>250</v>
      </c>
      <c r="G3" s="17" t="s">
        <v>189</v>
      </c>
      <c r="H3" s="17" t="s">
        <v>190</v>
      </c>
      <c r="I3" s="17" t="s">
        <v>191</v>
      </c>
      <c r="J3" s="17" t="s">
        <v>192</v>
      </c>
      <c r="K3" s="17" t="s">
        <v>193</v>
      </c>
      <c r="L3" s="17" t="s">
        <v>194</v>
      </c>
      <c r="M3" s="17" t="s">
        <v>195</v>
      </c>
      <c r="N3" s="17" t="s">
        <v>196</v>
      </c>
      <c r="O3" s="17" t="s">
        <v>197</v>
      </c>
      <c r="P3" s="17" t="s">
        <v>198</v>
      </c>
      <c r="Q3" s="17" t="s">
        <v>199</v>
      </c>
      <c r="R3" s="17" t="s">
        <v>200</v>
      </c>
      <c r="S3" s="17" t="s">
        <v>201</v>
      </c>
    </row>
    <row r="4" spans="1:19" x14ac:dyDescent="0.25">
      <c r="B4" s="76">
        <f>'Rate Calculations &amp; PHF'!Z19</f>
        <v>1.09E-2</v>
      </c>
      <c r="C4" s="16" t="s">
        <v>6</v>
      </c>
      <c r="D4" s="16"/>
      <c r="E4" s="16"/>
      <c r="F4" s="16"/>
      <c r="G4" s="17"/>
      <c r="H4" s="17" t="s">
        <v>9</v>
      </c>
      <c r="I4" s="17"/>
      <c r="J4" s="17" t="s">
        <v>13</v>
      </c>
      <c r="K4" s="17"/>
      <c r="L4" s="42" t="s">
        <v>17</v>
      </c>
      <c r="N4" s="17" t="s">
        <v>21</v>
      </c>
      <c r="O4" s="17" t="s">
        <v>24</v>
      </c>
      <c r="P4" s="17" t="s">
        <v>27</v>
      </c>
      <c r="Q4" s="17"/>
      <c r="R4" s="17" t="s">
        <v>31</v>
      </c>
    </row>
    <row r="5" spans="1:19" x14ac:dyDescent="0.25">
      <c r="B5" s="17"/>
      <c r="C5" s="16" t="s">
        <v>202</v>
      </c>
      <c r="D5" s="17" t="s">
        <v>40</v>
      </c>
      <c r="E5" s="17" t="s">
        <v>42</v>
      </c>
      <c r="F5" s="17" t="s">
        <v>40</v>
      </c>
      <c r="G5" s="17" t="s">
        <v>40</v>
      </c>
      <c r="H5" s="17" t="s">
        <v>41</v>
      </c>
      <c r="I5" s="17" t="s">
        <v>40</v>
      </c>
      <c r="J5" s="17" t="s">
        <v>42</v>
      </c>
      <c r="K5" s="17" t="s">
        <v>40</v>
      </c>
      <c r="L5" s="17" t="s">
        <v>41</v>
      </c>
      <c r="M5" s="17" t="s">
        <v>40</v>
      </c>
      <c r="N5" s="17" t="s">
        <v>42</v>
      </c>
      <c r="O5" s="17" t="s">
        <v>40</v>
      </c>
      <c r="P5" s="17" t="s">
        <v>41</v>
      </c>
      <c r="Q5" s="17" t="s">
        <v>40</v>
      </c>
      <c r="R5" s="17" t="s">
        <v>42</v>
      </c>
      <c r="S5" s="17" t="s">
        <v>40</v>
      </c>
    </row>
    <row r="6" spans="1:19" x14ac:dyDescent="0.25">
      <c r="B6" s="17"/>
      <c r="C6" s="18"/>
      <c r="D6" s="18"/>
      <c r="E6" s="1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B7" s="38">
        <f>SUM(G7:S7)</f>
        <v>2401.5706542668058</v>
      </c>
      <c r="C7" s="20">
        <v>0</v>
      </c>
      <c r="D7" s="21">
        <f>('FREEVAL INPUT 2020 Hourly'!D7)*(1+$B$4)^($B$1-'FREEVAL INPUT 2020 Hourly'!$B$1)</f>
        <v>441.55425601145765</v>
      </c>
      <c r="E7" s="113">
        <f>('FREEVAL INPUT 2020 Hourly'!E7)*(1+$B$4)^($B$1-'FREEVAL INPUT 2020 Hourly'!$B$1)</f>
        <v>17.618124928137963</v>
      </c>
      <c r="F7" s="21">
        <f>('FREEVAL INPUT 2020 Hourly'!F7)*(1+$B$4)^($B$1-'FREEVAL INPUT 2020 Hourly'!$B$1)</f>
        <v>459.17238093959566</v>
      </c>
      <c r="G7" s="21">
        <f>('FREEVAL INPUT 2020 Hourly'!G7)*(1+$B$4)^($B$1-'FREEVAL INPUT 2020 Hourly'!$B$1)</f>
        <v>459.17238093959566</v>
      </c>
      <c r="H7" s="21">
        <f>('FREEVAL INPUT 2020 Hourly'!H7)*(1+$B$4)^($B$1-'FREEVAL INPUT 2020 Hourly'!$B$1)</f>
        <v>120.02347607293986</v>
      </c>
      <c r="I7" s="21">
        <f>('FREEVAL INPUT 2020 Hourly'!I7)*(1+$B$4)^($B$1-'FREEVAL INPUT 2020 Hourly'!$B$1)</f>
        <v>339.14890486665576</v>
      </c>
      <c r="J7" s="21">
        <f>('FREEVAL INPUT 2020 Hourly'!J7)*(1+$B$4)^($B$1-'FREEVAL INPUT 2020 Hourly'!$B$1)</f>
        <v>15.415859312120716</v>
      </c>
      <c r="K7" s="21">
        <f>('FREEVAL INPUT 2020 Hourly'!K7)*(1+$B$4)^($B$1-'FREEVAL INPUT 2020 Hourly'!$B$1)</f>
        <v>354.56476417877644</v>
      </c>
      <c r="L7" s="21">
        <f>('FREEVAL INPUT 2020 Hourly'!L7)*(1+$B$4)^($B$1-'FREEVAL INPUT 2020 Hourly'!$B$1)</f>
        <v>137.64160100107785</v>
      </c>
      <c r="M7" s="21">
        <f>('FREEVAL INPUT 2020 Hourly'!M7)*(1+$B$4)^($B$1-'FREEVAL INPUT 2020 Hourly'!$B$1)</f>
        <v>216.92316317769865</v>
      </c>
      <c r="N7" s="21">
        <f>('FREEVAL INPUT 2020 Hourly'!N7)*(1+$B$4)^($B$1-'FREEVAL INPUT 2020 Hourly'!$B$1)</f>
        <v>25.326054584198321</v>
      </c>
      <c r="O7" s="21">
        <f>('FREEVAL INPUT 2020 Hourly'!O7)*(1+$B$4)^($B$1-'FREEVAL INPUT 2020 Hourly'!$B$1)</f>
        <v>242.24921776189694</v>
      </c>
      <c r="P7" s="21">
        <f>('FREEVAL INPUT 2020 Hourly'!P7)*(1+$B$4)^($B$1-'FREEVAL INPUT 2020 Hourly'!$B$1)</f>
        <v>15.415859312120716</v>
      </c>
      <c r="Q7" s="21">
        <f>('FREEVAL INPUT 2020 Hourly'!Q7)*(1+$B$4)^($B$1-'FREEVAL INPUT 2020 Hourly'!$B$1)</f>
        <v>226.83335844977626</v>
      </c>
      <c r="R7" s="21">
        <f>('FREEVAL INPUT 2020 Hourly'!R7)*(1+$B$4)^($B$1-'FREEVAL INPUT 2020 Hourly'!$B$1)</f>
        <v>11.011328080086225</v>
      </c>
      <c r="S7" s="21">
        <f>('FREEVAL INPUT 2020 Hourly'!S7)*(1+$B$4)^($B$1-'FREEVAL INPUT 2020 Hourly'!$B$1)</f>
        <v>237.84468652986249</v>
      </c>
    </row>
    <row r="8" spans="1:19" x14ac:dyDescent="0.25">
      <c r="B8" s="38">
        <f t="shared" ref="B8:B30" si="0">SUM(G8:S8)</f>
        <v>1946.8028045592448</v>
      </c>
      <c r="C8" s="20">
        <v>4.1666666666666664E-2</v>
      </c>
      <c r="D8" s="21">
        <f>('FREEVAL INPUT 2020 Hourly'!D8)*(1+$B$4)^($B$1-'FREEVAL INPUT 2020 Hourly'!$B$1)</f>
        <v>345.75570171470753</v>
      </c>
      <c r="E8" s="113">
        <f>('FREEVAL INPUT 2020 Hourly'!E8)*(1+$B$4)^($B$1-'FREEVAL INPUT 2020 Hourly'!$B$1)</f>
        <v>14.314726504112095</v>
      </c>
      <c r="F8" s="21">
        <f>('FREEVAL INPUT 2020 Hourly'!F8)*(1+$B$4)^($B$1-'FREEVAL INPUT 2020 Hourly'!$B$1)</f>
        <v>360.07042821881959</v>
      </c>
      <c r="G8" s="21">
        <f>('FREEVAL INPUT 2020 Hourly'!G8)*(1+$B$4)^($B$1-'FREEVAL INPUT 2020 Hourly'!$B$1)</f>
        <v>360.07042821881959</v>
      </c>
      <c r="H8" s="21">
        <f>('FREEVAL INPUT 2020 Hourly'!H8)*(1+$B$4)^($B$1-'FREEVAL INPUT 2020 Hourly'!$B$1)</f>
        <v>89.191757448698425</v>
      </c>
      <c r="I8" s="21">
        <f>('FREEVAL INPUT 2020 Hourly'!I8)*(1+$B$4)^($B$1-'FREEVAL INPUT 2020 Hourly'!$B$1)</f>
        <v>270.87867077012118</v>
      </c>
      <c r="J8" s="21">
        <f>('FREEVAL INPUT 2020 Hourly'!J8)*(1+$B$4)^($B$1-'FREEVAL INPUT 2020 Hourly'!$B$1)</f>
        <v>17.618124928137963</v>
      </c>
      <c r="K8" s="21">
        <f>('FREEVAL INPUT 2020 Hourly'!K8)*(1+$B$4)^($B$1-'FREEVAL INPUT 2020 Hourly'!$B$1)</f>
        <v>288.49679569825906</v>
      </c>
      <c r="L8" s="21">
        <f>('FREEVAL INPUT 2020 Hourly'!L8)*(1+$B$4)^($B$1-'FREEVAL INPUT 2020 Hourly'!$B$1)</f>
        <v>107.91101518484501</v>
      </c>
      <c r="M8" s="21">
        <f>('FREEVAL INPUT 2020 Hourly'!M8)*(1+$B$4)^($B$1-'FREEVAL INPUT 2020 Hourly'!$B$1)</f>
        <v>180.58578051341411</v>
      </c>
      <c r="N8" s="21">
        <f>('FREEVAL INPUT 2020 Hourly'!N8)*(1+$B$4)^($B$1-'FREEVAL INPUT 2020 Hourly'!$B$1)</f>
        <v>19.820390544155206</v>
      </c>
      <c r="O8" s="21">
        <f>('FREEVAL INPUT 2020 Hourly'!O8)*(1+$B$4)^($B$1-'FREEVAL INPUT 2020 Hourly'!$B$1)</f>
        <v>200.40617105756931</v>
      </c>
      <c r="P8" s="21">
        <f>('FREEVAL INPUT 2020 Hourly'!P8)*(1+$B$4)^($B$1-'FREEVAL INPUT 2020 Hourly'!$B$1)</f>
        <v>2.2022656160172454</v>
      </c>
      <c r="Q8" s="21">
        <f>('FREEVAL INPUT 2020 Hourly'!Q8)*(1+$B$4)^($B$1-'FREEVAL INPUT 2020 Hourly'!$B$1)</f>
        <v>198.20390544155208</v>
      </c>
      <c r="R8" s="21">
        <f>('FREEVAL INPUT 2020 Hourly'!R8)*(1+$B$4)^($B$1-'FREEVAL INPUT 2020 Hourly'!$B$1)</f>
        <v>6.6067968480517356</v>
      </c>
      <c r="S8" s="21">
        <f>('FREEVAL INPUT 2020 Hourly'!S8)*(1+$B$4)^($B$1-'FREEVAL INPUT 2020 Hourly'!$B$1)</f>
        <v>204.81070228960382</v>
      </c>
    </row>
    <row r="9" spans="1:19" x14ac:dyDescent="0.25">
      <c r="B9" s="38">
        <f t="shared" si="0"/>
        <v>1534.97913436402</v>
      </c>
      <c r="C9" s="20">
        <v>8.3333333333333301E-2</v>
      </c>
      <c r="D9" s="21">
        <f>('FREEVAL INPUT 2020 Hourly'!D9)*(1+$B$4)^($B$1-'FREEVAL INPUT 2020 Hourly'!$B$1)</f>
        <v>241.14808495388834</v>
      </c>
      <c r="E9" s="113">
        <f>('FREEVAL INPUT 2020 Hourly'!E9)*(1+$B$4)^($B$1-'FREEVAL INPUT 2020 Hourly'!$B$1)</f>
        <v>12.112460888094848</v>
      </c>
      <c r="F9" s="21">
        <f>('FREEVAL INPUT 2020 Hourly'!F9)*(1+$B$4)^($B$1-'FREEVAL INPUT 2020 Hourly'!$B$1)</f>
        <v>253.2605458419832</v>
      </c>
      <c r="G9" s="21">
        <f>('FREEVAL INPUT 2020 Hourly'!G9)*(1+$B$4)^($B$1-'FREEVAL INPUT 2020 Hourly'!$B$1)</f>
        <v>253.2605458419832</v>
      </c>
      <c r="H9" s="21">
        <f>('FREEVAL INPUT 2020 Hourly'!H9)*(1+$B$4)^($B$1-'FREEVAL INPUT 2020 Hourly'!$B$1)</f>
        <v>53.955507592422506</v>
      </c>
      <c r="I9" s="21">
        <f>('FREEVAL INPUT 2020 Hourly'!I9)*(1+$B$4)^($B$1-'FREEVAL INPUT 2020 Hourly'!$B$1)</f>
        <v>199.30503824956068</v>
      </c>
      <c r="J9" s="21">
        <f>('FREEVAL INPUT 2020 Hourly'!J9)*(1+$B$4)^($B$1-'FREEVAL INPUT 2020 Hourly'!$B$1)</f>
        <v>19.820390544155206</v>
      </c>
      <c r="K9" s="21">
        <f>('FREEVAL INPUT 2020 Hourly'!K9)*(1+$B$4)^($B$1-'FREEVAL INPUT 2020 Hourly'!$B$1)</f>
        <v>219.12542879371588</v>
      </c>
      <c r="L9" s="21">
        <f>('FREEVAL INPUT 2020 Hourly'!L9)*(1+$B$4)^($B$1-'FREEVAL INPUT 2020 Hourly'!$B$1)</f>
        <v>48.449843552379392</v>
      </c>
      <c r="M9" s="21">
        <f>('FREEVAL INPUT 2020 Hourly'!M9)*(1+$B$4)^($B$1-'FREEVAL INPUT 2020 Hourly'!$B$1)</f>
        <v>170.67558524133651</v>
      </c>
      <c r="N9" s="21">
        <f>('FREEVAL INPUT 2020 Hourly'!N9)*(1+$B$4)^($B$1-'FREEVAL INPUT 2020 Hourly'!$B$1)</f>
        <v>15.415859312120716</v>
      </c>
      <c r="O9" s="21">
        <f>('FREEVAL INPUT 2020 Hourly'!O9)*(1+$B$4)^($B$1-'FREEVAL INPUT 2020 Hourly'!$B$1)</f>
        <v>186.09144455345722</v>
      </c>
      <c r="P9" s="21">
        <f>('FREEVAL INPUT 2020 Hourly'!P9)*(1+$B$4)^($B$1-'FREEVAL INPUT 2020 Hourly'!$B$1)</f>
        <v>7.7079296560603581</v>
      </c>
      <c r="Q9" s="21">
        <f>('FREEVAL INPUT 2020 Hourly'!Q9)*(1+$B$4)^($B$1-'FREEVAL INPUT 2020 Hourly'!$B$1)</f>
        <v>178.38351489739685</v>
      </c>
      <c r="R9" s="21">
        <f>('FREEVAL INPUT 2020 Hourly'!R9)*(1+$B$4)^($B$1-'FREEVAL INPUT 2020 Hourly'!$B$1)</f>
        <v>2.2022656160172454</v>
      </c>
      <c r="S9" s="21">
        <f>('FREEVAL INPUT 2020 Hourly'!S9)*(1+$B$4)^($B$1-'FREEVAL INPUT 2020 Hourly'!$B$1)</f>
        <v>180.58578051341411</v>
      </c>
    </row>
    <row r="10" spans="1:19" x14ac:dyDescent="0.25">
      <c r="B10" s="38">
        <f t="shared" si="0"/>
        <v>1705.6547196053561</v>
      </c>
      <c r="C10" s="20">
        <v>0.125</v>
      </c>
      <c r="D10" s="21">
        <f>('FREEVAL INPUT 2020 Hourly'!D10)*(1+$B$4)^($B$1-'FREEVAL INPUT 2020 Hourly'!$B$1)</f>
        <v>288.49679569825906</v>
      </c>
      <c r="E10" s="113">
        <f>('FREEVAL INPUT 2020 Hourly'!E10)*(1+$B$4)^($B$1-'FREEVAL INPUT 2020 Hourly'!$B$1)</f>
        <v>14.314726504112095</v>
      </c>
      <c r="F10" s="21">
        <f>('FREEVAL INPUT 2020 Hourly'!F10)*(1+$B$4)^($B$1-'FREEVAL INPUT 2020 Hourly'!$B$1)</f>
        <v>302.81152220237118</v>
      </c>
      <c r="G10" s="21">
        <f>('FREEVAL INPUT 2020 Hourly'!G10)*(1+$B$4)^($B$1-'FREEVAL INPUT 2020 Hourly'!$B$1)</f>
        <v>302.81152220237118</v>
      </c>
      <c r="H10" s="21">
        <f>('FREEVAL INPUT 2020 Hourly'!H10)*(1+$B$4)^($B$1-'FREEVAL INPUT 2020 Hourly'!$B$1)</f>
        <v>80.382694984629453</v>
      </c>
      <c r="I10" s="21">
        <f>('FREEVAL INPUT 2020 Hourly'!I10)*(1+$B$4)^($B$1-'FREEVAL INPUT 2020 Hourly'!$B$1)</f>
        <v>222.42882721774177</v>
      </c>
      <c r="J10" s="21">
        <f>('FREEVAL INPUT 2020 Hourly'!J10)*(1+$B$4)^($B$1-'FREEVAL INPUT 2020 Hourly'!$B$1)</f>
        <v>18.719257736146584</v>
      </c>
      <c r="K10" s="21">
        <f>('FREEVAL INPUT 2020 Hourly'!K10)*(1+$B$4)^($B$1-'FREEVAL INPUT 2020 Hourly'!$B$1)</f>
        <v>241.14808495388834</v>
      </c>
      <c r="L10" s="21">
        <f>('FREEVAL INPUT 2020 Hourly'!L10)*(1+$B$4)^($B$1-'FREEVAL INPUT 2020 Hourly'!$B$1)</f>
        <v>63.865702864500108</v>
      </c>
      <c r="M10" s="21">
        <f>('FREEVAL INPUT 2020 Hourly'!M10)*(1+$B$4)^($B$1-'FREEVAL INPUT 2020 Hourly'!$B$1)</f>
        <v>177.28238208938822</v>
      </c>
      <c r="N10" s="21">
        <f>('FREEVAL INPUT 2020 Hourly'!N10)*(1+$B$4)^($B$1-'FREEVAL INPUT 2020 Hourly'!$B$1)</f>
        <v>15.415859312120716</v>
      </c>
      <c r="O10" s="21">
        <f>('FREEVAL INPUT 2020 Hourly'!O10)*(1+$B$4)^($B$1-'FREEVAL INPUT 2020 Hourly'!$B$1)</f>
        <v>192.69824140150897</v>
      </c>
      <c r="P10" s="21">
        <f>('FREEVAL INPUT 2020 Hourly'!P10)*(1+$B$4)^($B$1-'FREEVAL INPUT 2020 Hourly'!$B$1)</f>
        <v>3.3033984240258678</v>
      </c>
      <c r="Q10" s="21">
        <f>('FREEVAL INPUT 2020 Hourly'!Q10)*(1+$B$4)^($B$1-'FREEVAL INPUT 2020 Hourly'!$B$1)</f>
        <v>189.39484297748308</v>
      </c>
      <c r="R10" s="21">
        <f>('FREEVAL INPUT 2020 Hourly'!R10)*(1+$B$4)^($B$1-'FREEVAL INPUT 2020 Hourly'!$B$1)</f>
        <v>4.4045312320344907</v>
      </c>
      <c r="S10" s="21">
        <f>('FREEVAL INPUT 2020 Hourly'!S10)*(1+$B$4)^($B$1-'FREEVAL INPUT 2020 Hourly'!$B$1)</f>
        <v>193.79937420951757</v>
      </c>
    </row>
    <row r="11" spans="1:19" x14ac:dyDescent="0.25">
      <c r="B11" s="38">
        <f t="shared" si="0"/>
        <v>2194.557686361185</v>
      </c>
      <c r="C11" s="20">
        <v>0.16666666666666699</v>
      </c>
      <c r="D11" s="21">
        <f>('FREEVAL INPUT 2020 Hourly'!D11)*(1+$B$4)^($B$1-'FREEVAL INPUT 2020 Hourly'!$B$1)</f>
        <v>350.16023294674193</v>
      </c>
      <c r="E11" s="113">
        <f>('FREEVAL INPUT 2020 Hourly'!E11)*(1+$B$4)^($B$1-'FREEVAL INPUT 2020 Hourly'!$B$1)</f>
        <v>19.820390544155206</v>
      </c>
      <c r="F11" s="21">
        <f>('FREEVAL INPUT 2020 Hourly'!F11)*(1+$B$4)^($B$1-'FREEVAL INPUT 2020 Hourly'!$B$1)</f>
        <v>369.98062349089719</v>
      </c>
      <c r="G11" s="21">
        <f>('FREEVAL INPUT 2020 Hourly'!G11)*(1+$B$4)^($B$1-'FREEVAL INPUT 2020 Hourly'!$B$1)</f>
        <v>369.98062349089719</v>
      </c>
      <c r="H11" s="21">
        <f>('FREEVAL INPUT 2020 Hourly'!H11)*(1+$B$4)^($B$1-'FREEVAL INPUT 2020 Hourly'!$B$1)</f>
        <v>89.191757448698425</v>
      </c>
      <c r="I11" s="21">
        <f>('FREEVAL INPUT 2020 Hourly'!I11)*(1+$B$4)^($B$1-'FREEVAL INPUT 2020 Hourly'!$B$1)</f>
        <v>280.78886604219878</v>
      </c>
      <c r="J11" s="21">
        <f>('FREEVAL INPUT 2020 Hourly'!J11)*(1+$B$4)^($B$1-'FREEVAL INPUT 2020 Hourly'!$B$1)</f>
        <v>25.326054584198321</v>
      </c>
      <c r="K11" s="21">
        <f>('FREEVAL INPUT 2020 Hourly'!K11)*(1+$B$4)^($B$1-'FREEVAL INPUT 2020 Hourly'!$B$1)</f>
        <v>306.11492062639707</v>
      </c>
      <c r="L11" s="21">
        <f>('FREEVAL INPUT 2020 Hourly'!L11)*(1+$B$4)^($B$1-'FREEVAL INPUT 2020 Hourly'!$B$1)</f>
        <v>79.281562176620824</v>
      </c>
      <c r="M11" s="21">
        <f>('FREEVAL INPUT 2020 Hourly'!M11)*(1+$B$4)^($B$1-'FREEVAL INPUT 2020 Hourly'!$B$1)</f>
        <v>226.83335844977626</v>
      </c>
      <c r="N11" s="21">
        <f>('FREEVAL INPUT 2020 Hourly'!N11)*(1+$B$4)^($B$1-'FREEVAL INPUT 2020 Hourly'!$B$1)</f>
        <v>28.629453008224189</v>
      </c>
      <c r="O11" s="21">
        <f>('FREEVAL INPUT 2020 Hourly'!O11)*(1+$B$4)^($B$1-'FREEVAL INPUT 2020 Hourly'!$B$1)</f>
        <v>255.46281145800043</v>
      </c>
      <c r="P11" s="21">
        <f>('FREEVAL INPUT 2020 Hourly'!P11)*(1+$B$4)^($B$1-'FREEVAL INPUT 2020 Hourly'!$B$1)</f>
        <v>6.6067968480517356</v>
      </c>
      <c r="Q11" s="21">
        <f>('FREEVAL INPUT 2020 Hourly'!Q11)*(1+$B$4)^($B$1-'FREEVAL INPUT 2020 Hourly'!$B$1)</f>
        <v>248.85601460994869</v>
      </c>
      <c r="R11" s="21">
        <f>('FREEVAL INPUT 2020 Hourly'!R11)*(1+$B$4)^($B$1-'FREEVAL INPUT 2020 Hourly'!$B$1)</f>
        <v>14.314726504112095</v>
      </c>
      <c r="S11" s="21">
        <f>('FREEVAL INPUT 2020 Hourly'!S11)*(1+$B$4)^($B$1-'FREEVAL INPUT 2020 Hourly'!$B$1)</f>
        <v>263.17074111406077</v>
      </c>
    </row>
    <row r="12" spans="1:19" x14ac:dyDescent="0.25">
      <c r="B12" s="38">
        <f t="shared" si="0"/>
        <v>3910.1226012386187</v>
      </c>
      <c r="C12" s="20">
        <v>0.20833333333333301</v>
      </c>
      <c r="D12" s="21">
        <f>('FREEVAL INPUT 2020 Hourly'!D12)*(1+$B$4)^($B$1-'FREEVAL INPUT 2020 Hourly'!$B$1)</f>
        <v>654.07288795712179</v>
      </c>
      <c r="E12" s="113">
        <f>('FREEVAL INPUT 2020 Hourly'!E12)*(1+$B$4)^($B$1-'FREEVAL INPUT 2020 Hourly'!$B$1)</f>
        <v>22.022656160172449</v>
      </c>
      <c r="F12" s="21">
        <f>('FREEVAL INPUT 2020 Hourly'!F12)*(1+$B$4)^($B$1-'FREEVAL INPUT 2020 Hourly'!$B$1)</f>
        <v>676.09554411729425</v>
      </c>
      <c r="G12" s="21">
        <f>('FREEVAL INPUT 2020 Hourly'!G12)*(1+$B$4)^($B$1-'FREEVAL INPUT 2020 Hourly'!$B$1)</f>
        <v>676.09554411729425</v>
      </c>
      <c r="H12" s="21">
        <f>('FREEVAL INPUT 2020 Hourly'!H12)*(1+$B$4)^($B$1-'FREEVAL INPUT 2020 Hourly'!$B$1)</f>
        <v>157.46199154523302</v>
      </c>
      <c r="I12" s="21">
        <f>('FREEVAL INPUT 2020 Hourly'!I12)*(1+$B$4)^($B$1-'FREEVAL INPUT 2020 Hourly'!$B$1)</f>
        <v>518.63355257206126</v>
      </c>
      <c r="J12" s="21">
        <f>('FREEVAL INPUT 2020 Hourly'!J12)*(1+$B$4)^($B$1-'FREEVAL INPUT 2020 Hourly'!$B$1)</f>
        <v>37.438515472293169</v>
      </c>
      <c r="K12" s="21">
        <f>('FREEVAL INPUT 2020 Hourly'!K12)*(1+$B$4)^($B$1-'FREEVAL INPUT 2020 Hourly'!$B$1)</f>
        <v>556.07206804435441</v>
      </c>
      <c r="L12" s="21">
        <f>('FREEVAL INPUT 2020 Hourly'!L12)*(1+$B$4)^($B$1-'FREEVAL INPUT 2020 Hourly'!$B$1)</f>
        <v>172.87785085735376</v>
      </c>
      <c r="M12" s="21">
        <f>('FREEVAL INPUT 2020 Hourly'!M12)*(1+$B$4)^($B$1-'FREEVAL INPUT 2020 Hourly'!$B$1)</f>
        <v>383.19421718700067</v>
      </c>
      <c r="N12" s="21">
        <f>('FREEVAL INPUT 2020 Hourly'!N12)*(1+$B$4)^($B$1-'FREEVAL INPUT 2020 Hourly'!$B$1)</f>
        <v>52.854374784413885</v>
      </c>
      <c r="O12" s="21">
        <f>('FREEVAL INPUT 2020 Hourly'!O12)*(1+$B$4)^($B$1-'FREEVAL INPUT 2020 Hourly'!$B$1)</f>
        <v>436.04859197141451</v>
      </c>
      <c r="P12" s="21">
        <f>('FREEVAL INPUT 2020 Hourly'!P12)*(1+$B$4)^($B$1-'FREEVAL INPUT 2020 Hourly'!$B$1)</f>
        <v>14.314726504112095</v>
      </c>
      <c r="Q12" s="21">
        <f>('FREEVAL INPUT 2020 Hourly'!Q12)*(1+$B$4)^($B$1-'FREEVAL INPUT 2020 Hourly'!$B$1)</f>
        <v>421.73386546730245</v>
      </c>
      <c r="R12" s="21">
        <f>('FREEVAL INPUT 2020 Hourly'!R12)*(1+$B$4)^($B$1-'FREEVAL INPUT 2020 Hourly'!$B$1)</f>
        <v>30.831718624241432</v>
      </c>
      <c r="S12" s="21">
        <f>('FREEVAL INPUT 2020 Hourly'!S12)*(1+$B$4)^($B$1-'FREEVAL INPUT 2020 Hourly'!$B$1)</f>
        <v>452.56558409154388</v>
      </c>
    </row>
    <row r="13" spans="1:19" s="52" customFormat="1" x14ac:dyDescent="0.25">
      <c r="B13" s="38">
        <f t="shared" si="0"/>
        <v>8117.5510606395655</v>
      </c>
      <c r="C13" s="50">
        <v>0.25</v>
      </c>
      <c r="D13" s="21">
        <f>('FREEVAL INPUT 2020 Hourly'!D13)*(1+$B$4)^($B$1-'FREEVAL INPUT 2020 Hourly'!$B$1)</f>
        <v>1392.9330021309077</v>
      </c>
      <c r="E13" s="113">
        <f>('FREEVAL INPUT 2020 Hourly'!E13)*(1+$B$4)^($B$1-'FREEVAL INPUT 2020 Hourly'!$B$1)</f>
        <v>33.033984240258675</v>
      </c>
      <c r="F13" s="21">
        <f>('FREEVAL INPUT 2020 Hourly'!F13)*(1+$B$4)^($B$1-'FREEVAL INPUT 2020 Hourly'!$B$1)</f>
        <v>1425.9669863711663</v>
      </c>
      <c r="G13" s="21">
        <f>('FREEVAL INPUT 2020 Hourly'!G13)*(1+$B$4)^($B$1-'FREEVAL INPUT 2020 Hourly'!$B$1)</f>
        <v>1425.9669863711663</v>
      </c>
      <c r="H13" s="21">
        <f>('FREEVAL INPUT 2020 Hourly'!H13)*(1+$B$4)^($B$1-'FREEVAL INPUT 2020 Hourly'!$B$1)</f>
        <v>406.31800615518176</v>
      </c>
      <c r="I13" s="21">
        <f>('FREEVAL INPUT 2020 Hourly'!I13)*(1+$B$4)^($B$1-'FREEVAL INPUT 2020 Hourly'!$B$1)</f>
        <v>1019.6489802159845</v>
      </c>
      <c r="J13" s="21">
        <f>('FREEVAL INPUT 2020 Hourly'!J13)*(1+$B$4)^($B$1-'FREEVAL INPUT 2020 Hourly'!$B$1)</f>
        <v>84.787226216663939</v>
      </c>
      <c r="K13" s="21">
        <f>('FREEVAL INPUT 2020 Hourly'!K13)*(1+$B$4)^($B$1-'FREEVAL INPUT 2020 Hourly'!$B$1)</f>
        <v>1104.4362064326483</v>
      </c>
      <c r="L13" s="21">
        <f>('FREEVAL INPUT 2020 Hourly'!L13)*(1+$B$4)^($B$1-'FREEVAL INPUT 2020 Hourly'!$B$1)</f>
        <v>321.53077993851781</v>
      </c>
      <c r="M13" s="21">
        <f>('FREEVAL INPUT 2020 Hourly'!M13)*(1+$B$4)^($B$1-'FREEVAL INPUT 2020 Hourly'!$B$1)</f>
        <v>782.90542649413067</v>
      </c>
      <c r="N13" s="21">
        <f>('FREEVAL INPUT 2020 Hourly'!N13)*(1+$B$4)^($B$1-'FREEVAL INPUT 2020 Hourly'!$B$1)</f>
        <v>124.42800730497434</v>
      </c>
      <c r="O13" s="21">
        <f>('FREEVAL INPUT 2020 Hourly'!O13)*(1+$B$4)^($B$1-'FREEVAL INPUT 2020 Hourly'!$B$1)</f>
        <v>907.33343379910502</v>
      </c>
      <c r="P13" s="21">
        <f>('FREEVAL INPUT 2020 Hourly'!P13)*(1+$B$4)^($B$1-'FREEVAL INPUT 2020 Hourly'!$B$1)</f>
        <v>41.843046704327662</v>
      </c>
      <c r="Q13" s="21">
        <f>('FREEVAL INPUT 2020 Hourly'!Q13)*(1+$B$4)^($B$1-'FREEVAL INPUT 2020 Hourly'!$B$1)</f>
        <v>865.49038709477736</v>
      </c>
      <c r="R13" s="21">
        <f>('FREEVAL INPUT 2020 Hourly'!R13)*(1+$B$4)^($B$1-'FREEVAL INPUT 2020 Hourly'!$B$1)</f>
        <v>83.686093408655324</v>
      </c>
      <c r="S13" s="21">
        <f>('FREEVAL INPUT 2020 Hourly'!S13)*(1+$B$4)^($B$1-'FREEVAL INPUT 2020 Hourly'!$B$1)</f>
        <v>949.17648050343269</v>
      </c>
    </row>
    <row r="14" spans="1:19" s="51" customFormat="1" x14ac:dyDescent="0.25">
      <c r="A14" s="102" t="s">
        <v>242</v>
      </c>
      <c r="B14" s="39">
        <f t="shared" si="0"/>
        <v>10567</v>
      </c>
      <c r="C14" s="40">
        <v>0.29166666666666702</v>
      </c>
      <c r="D14" s="44">
        <f>F14-E14</f>
        <v>1887</v>
      </c>
      <c r="E14" s="44">
        <v>60</v>
      </c>
      <c r="F14" s="44">
        <v>1947</v>
      </c>
      <c r="G14" s="44">
        <v>1947</v>
      </c>
      <c r="H14" s="44">
        <v>621</v>
      </c>
      <c r="I14" s="44">
        <f>G14-H14</f>
        <v>1326</v>
      </c>
      <c r="J14" s="44">
        <v>121</v>
      </c>
      <c r="K14" s="44">
        <f>I14+J14</f>
        <v>1447</v>
      </c>
      <c r="L14" s="44">
        <v>583</v>
      </c>
      <c r="M14" s="44">
        <f>K14-L14</f>
        <v>864</v>
      </c>
      <c r="N14" s="44">
        <v>189</v>
      </c>
      <c r="O14" s="44">
        <f>M14+N14</f>
        <v>1053</v>
      </c>
      <c r="P14" s="44">
        <v>70</v>
      </c>
      <c r="Q14" s="44">
        <f>O14-P14</f>
        <v>983</v>
      </c>
      <c r="R14" s="44">
        <v>190</v>
      </c>
      <c r="S14" s="44">
        <f>Q14+R14</f>
        <v>1173</v>
      </c>
    </row>
    <row r="15" spans="1:19" x14ac:dyDescent="0.25">
      <c r="B15" s="38">
        <f t="shared" si="0"/>
        <v>10680.988237683639</v>
      </c>
      <c r="C15" s="20">
        <v>0.33333333333333298</v>
      </c>
      <c r="D15" s="21">
        <f>('FREEVAL INPUT 2020 Hourly'!D15)*(1+$B$4)^($B$1-'FREEVAL INPUT 2020 Hourly'!$B$1)</f>
        <v>2005.1628433837018</v>
      </c>
      <c r="E15" s="113">
        <f>('FREEVAL INPUT 2020 Hourly'!E15)*(1+$B$4)^($B$1-'FREEVAL INPUT 2020 Hourly'!$B$1)</f>
        <v>63.865702864500108</v>
      </c>
      <c r="F15" s="21">
        <f>('FREEVAL INPUT 2020 Hourly'!F15)*(1+$B$4)^($B$1-'FREEVAL INPUT 2020 Hourly'!$B$1)</f>
        <v>2069.028546248202</v>
      </c>
      <c r="G15" s="21">
        <f>('FREEVAL INPUT 2020 Hourly'!G15)*(1+$B$4)^($B$1-'FREEVAL INPUT 2020 Hourly'!$B$1)</f>
        <v>2069.028546248202</v>
      </c>
      <c r="H15" s="21">
        <f>('FREEVAL INPUT 2020 Hourly'!H15)*(1+$B$4)^($B$1-'FREEVAL INPUT 2020 Hourly'!$B$1)</f>
        <v>668.38761446123397</v>
      </c>
      <c r="I15" s="21">
        <f>('FREEVAL INPUT 2020 Hourly'!I15)*(1+$B$4)^($B$1-'FREEVAL INPUT 2020 Hourly'!$B$1)</f>
        <v>1400.6409317869677</v>
      </c>
      <c r="J15" s="21">
        <f>('FREEVAL INPUT 2020 Hourly'!J15)*(1+$B$4)^($B$1-'FREEVAL INPUT 2020 Hourly'!$B$1)</f>
        <v>127.73140572900022</v>
      </c>
      <c r="K15" s="21">
        <f>('FREEVAL INPUT 2020 Hourly'!K15)*(1+$B$4)^($B$1-'FREEVAL INPUT 2020 Hourly'!$B$1)</f>
        <v>1528.3723375159682</v>
      </c>
      <c r="L15" s="21">
        <f>('FREEVAL INPUT 2020 Hourly'!L15)*(1+$B$4)^($B$1-'FREEVAL INPUT 2020 Hourly'!$B$1)</f>
        <v>672.79214569326848</v>
      </c>
      <c r="M15" s="21">
        <f>('FREEVAL INPUT 2020 Hourly'!M15)*(1+$B$4)^($B$1-'FREEVAL INPUT 2020 Hourly'!$B$1)</f>
        <v>855.5801918226997</v>
      </c>
      <c r="N15" s="21">
        <f>('FREEVAL INPUT 2020 Hourly'!N15)*(1+$B$4)^($B$1-'FREEVAL INPUT 2020 Hourly'!$B$1)</f>
        <v>167.37218681731065</v>
      </c>
      <c r="O15" s="21">
        <f>('FREEVAL INPUT 2020 Hourly'!O15)*(1+$B$4)^($B$1-'FREEVAL INPUT 2020 Hourly'!$B$1)</f>
        <v>1022.9523786400104</v>
      </c>
      <c r="P15" s="21">
        <f>('FREEVAL INPUT 2020 Hourly'!P15)*(1+$B$4)^($B$1-'FREEVAL INPUT 2020 Hourly'!$B$1)</f>
        <v>60.562304440474236</v>
      </c>
      <c r="Q15" s="21">
        <f>('FREEVAL INPUT 2020 Hourly'!Q15)*(1+$B$4)^($B$1-'FREEVAL INPUT 2020 Hourly'!$B$1)</f>
        <v>962.39007419953612</v>
      </c>
      <c r="R15" s="21">
        <f>('FREEVAL INPUT 2020 Hourly'!R15)*(1+$B$4)^($B$1-'FREEVAL INPUT 2020 Hourly'!$B$1)</f>
        <v>91.394023064715668</v>
      </c>
      <c r="S15" s="21">
        <f>('FREEVAL INPUT 2020 Hourly'!S15)*(1+$B$4)^($B$1-'FREEVAL INPUT 2020 Hourly'!$B$1)</f>
        <v>1053.7840972642518</v>
      </c>
    </row>
    <row r="16" spans="1:19" x14ac:dyDescent="0.25">
      <c r="B16" s="38">
        <f t="shared" si="0"/>
        <v>11400.02796131327</v>
      </c>
      <c r="C16" s="20">
        <v>0.375</v>
      </c>
      <c r="D16" s="21">
        <f>('FREEVAL INPUT 2020 Hourly'!D16)*(1+$B$4)^($B$1-'FREEVAL INPUT 2020 Hourly'!$B$1)</f>
        <v>2083.3432727523141</v>
      </c>
      <c r="E16" s="113">
        <f>('FREEVAL INPUT 2020 Hourly'!E16)*(1+$B$4)^($B$1-'FREEVAL INPUT 2020 Hourly'!$B$1)</f>
        <v>70.472499712551851</v>
      </c>
      <c r="F16" s="21">
        <f>('FREEVAL INPUT 2020 Hourly'!F16)*(1+$B$4)^($B$1-'FREEVAL INPUT 2020 Hourly'!$B$1)</f>
        <v>2153.8157724648659</v>
      </c>
      <c r="G16" s="21">
        <f>('FREEVAL INPUT 2020 Hourly'!G16)*(1+$B$4)^($B$1-'FREEVAL INPUT 2020 Hourly'!$B$1)</f>
        <v>2153.8157724648659</v>
      </c>
      <c r="H16" s="21">
        <f>('FREEVAL INPUT 2020 Hourly'!H16)*(1+$B$4)^($B$1-'FREEVAL INPUT 2020 Hourly'!$B$1)</f>
        <v>650.76948953309591</v>
      </c>
      <c r="I16" s="21">
        <f>('FREEVAL INPUT 2020 Hourly'!I16)*(1+$B$4)^($B$1-'FREEVAL INPUT 2020 Hourly'!$B$1)</f>
        <v>1503.0462829317698</v>
      </c>
      <c r="J16" s="21">
        <f>('FREEVAL INPUT 2020 Hourly'!J16)*(1+$B$4)^($B$1-'FREEVAL INPUT 2020 Hourly'!$B$1)</f>
        <v>117.82121045692263</v>
      </c>
      <c r="K16" s="21">
        <f>('FREEVAL INPUT 2020 Hourly'!K16)*(1+$B$4)^($B$1-'FREEVAL INPUT 2020 Hourly'!$B$1)</f>
        <v>1620.8674933886925</v>
      </c>
      <c r="L16" s="21">
        <f>('FREEVAL INPUT 2020 Hourly'!L16)*(1+$B$4)^($B$1-'FREEVAL INPUT 2020 Hourly'!$B$1)</f>
        <v>640.85929426101836</v>
      </c>
      <c r="M16" s="21">
        <f>('FREEVAL INPUT 2020 Hourly'!M16)*(1+$B$4)^($B$1-'FREEVAL INPUT 2020 Hourly'!$B$1)</f>
        <v>980.00819912767406</v>
      </c>
      <c r="N16" s="21">
        <f>('FREEVAL INPUT 2020 Hourly'!N16)*(1+$B$4)^($B$1-'FREEVAL INPUT 2020 Hourly'!$B$1)</f>
        <v>179.48464770540548</v>
      </c>
      <c r="O16" s="21">
        <f>('FREEVAL INPUT 2020 Hourly'!O16)*(1+$B$4)^($B$1-'FREEVAL INPUT 2020 Hourly'!$B$1)</f>
        <v>1159.4928468330795</v>
      </c>
      <c r="P16" s="21">
        <f>('FREEVAL INPUT 2020 Hourly'!P16)*(1+$B$4)^($B$1-'FREEVAL INPUT 2020 Hourly'!$B$1)</f>
        <v>61.663437248482865</v>
      </c>
      <c r="Q16" s="21">
        <f>('FREEVAL INPUT 2020 Hourly'!Q16)*(1+$B$4)^($B$1-'FREEVAL INPUT 2020 Hourly'!$B$1)</f>
        <v>1097.8294095845968</v>
      </c>
      <c r="R16" s="21">
        <f>('FREEVAL INPUT 2020 Hourly'!R16)*(1+$B$4)^($B$1-'FREEVAL INPUT 2020 Hourly'!$B$1)</f>
        <v>68.270234096534608</v>
      </c>
      <c r="S16" s="21">
        <f>('FREEVAL INPUT 2020 Hourly'!S16)*(1+$B$4)^($B$1-'FREEVAL INPUT 2020 Hourly'!$B$1)</f>
        <v>1166.0996436811313</v>
      </c>
    </row>
    <row r="17" spans="1:19" x14ac:dyDescent="0.25">
      <c r="B17" s="38">
        <f t="shared" si="0"/>
        <v>11931.875107581433</v>
      </c>
      <c r="C17" s="20">
        <v>0.41666666666666702</v>
      </c>
      <c r="D17" s="21">
        <f>('FREEVAL INPUT 2020 Hourly'!D17)*(1+$B$4)^($B$1-'FREEVAL INPUT 2020 Hourly'!$B$1)</f>
        <v>2135.0965147287193</v>
      </c>
      <c r="E17" s="113">
        <f>('FREEVAL INPUT 2020 Hourly'!E17)*(1+$B$4)^($B$1-'FREEVAL INPUT 2020 Hourly'!$B$1)</f>
        <v>81.483827792638067</v>
      </c>
      <c r="F17" s="21">
        <f>('FREEVAL INPUT 2020 Hourly'!F17)*(1+$B$4)^($B$1-'FREEVAL INPUT 2020 Hourly'!$B$1)</f>
        <v>2216.5803425213571</v>
      </c>
      <c r="G17" s="21">
        <f>('FREEVAL INPUT 2020 Hourly'!G17)*(1+$B$4)^($B$1-'FREEVAL INPUT 2020 Hourly'!$B$1)</f>
        <v>2216.5803425213571</v>
      </c>
      <c r="H17" s="21">
        <f>('FREEVAL INPUT 2020 Hourly'!H17)*(1+$B$4)^($B$1-'FREEVAL INPUT 2020 Hourly'!$B$1)</f>
        <v>621.03890371686316</v>
      </c>
      <c r="I17" s="21">
        <f>('FREEVAL INPUT 2020 Hourly'!I17)*(1+$B$4)^($B$1-'FREEVAL INPUT 2020 Hourly'!$B$1)</f>
        <v>1595.541438804494</v>
      </c>
      <c r="J17" s="21">
        <f>('FREEVAL INPUT 2020 Hourly'!J17)*(1+$B$4)^($B$1-'FREEVAL INPUT 2020 Hourly'!$B$1)</f>
        <v>117.82121045692263</v>
      </c>
      <c r="K17" s="21">
        <f>('FREEVAL INPUT 2020 Hourly'!K17)*(1+$B$4)^($B$1-'FREEVAL INPUT 2020 Hourly'!$B$1)</f>
        <v>1713.3626492614167</v>
      </c>
      <c r="L17" s="21">
        <f>('FREEVAL INPUT 2020 Hourly'!L17)*(1+$B$4)^($B$1-'FREEVAL INPUT 2020 Hourly'!$B$1)</f>
        <v>715.73632520560466</v>
      </c>
      <c r="M17" s="21">
        <f>('FREEVAL INPUT 2020 Hourly'!M17)*(1+$B$4)^($B$1-'FREEVAL INPUT 2020 Hourly'!$B$1)</f>
        <v>997.62632405581201</v>
      </c>
      <c r="N17" s="21">
        <f>('FREEVAL INPUT 2020 Hourly'!N17)*(1+$B$4)^($B$1-'FREEVAL INPUT 2020 Hourly'!$B$1)</f>
        <v>220.22656160172451</v>
      </c>
      <c r="O17" s="21">
        <f>('FREEVAL INPUT 2020 Hourly'!O17)*(1+$B$4)^($B$1-'FREEVAL INPUT 2020 Hourly'!$B$1)</f>
        <v>1217.8528856575365</v>
      </c>
      <c r="P17" s="21">
        <f>('FREEVAL INPUT 2020 Hourly'!P17)*(1+$B$4)^($B$1-'FREEVAL INPUT 2020 Hourly'!$B$1)</f>
        <v>53.955507592422506</v>
      </c>
      <c r="Q17" s="21">
        <f>('FREEVAL INPUT 2020 Hourly'!Q17)*(1+$B$4)^($B$1-'FREEVAL INPUT 2020 Hourly'!$B$1)</f>
        <v>1163.897378065114</v>
      </c>
      <c r="R17" s="21">
        <f>('FREEVAL INPUT 2020 Hourly'!R17)*(1+$B$4)^($B$1-'FREEVAL INPUT 2020 Hourly'!$B$1)</f>
        <v>67.169101288525979</v>
      </c>
      <c r="S17" s="21">
        <f>('FREEVAL INPUT 2020 Hourly'!S17)*(1+$B$4)^($B$1-'FREEVAL INPUT 2020 Hourly'!$B$1)</f>
        <v>1231.06647935364</v>
      </c>
    </row>
    <row r="18" spans="1:19" x14ac:dyDescent="0.25">
      <c r="B18" s="38">
        <f t="shared" si="0"/>
        <v>12582.644597114529</v>
      </c>
      <c r="C18" s="20">
        <v>0.45833333333333298</v>
      </c>
      <c r="D18" s="21">
        <f>('FREEVAL INPUT 2020 Hourly'!D18)*(1+$B$4)^($B$1-'FREEVAL INPUT 2020 Hourly'!$B$1)</f>
        <v>2293.6596390819609</v>
      </c>
      <c r="E18" s="113">
        <f>('FREEVAL INPUT 2020 Hourly'!E18)*(1+$B$4)^($B$1-'FREEVAL INPUT 2020 Hourly'!$B$1)</f>
        <v>91.394023064715668</v>
      </c>
      <c r="F18" s="21">
        <f>('FREEVAL INPUT 2020 Hourly'!F18)*(1+$B$4)^($B$1-'FREEVAL INPUT 2020 Hourly'!$B$1)</f>
        <v>2385.0536621466767</v>
      </c>
      <c r="G18" s="21">
        <f>('FREEVAL INPUT 2020 Hourly'!G18)*(1+$B$4)^($B$1-'FREEVAL INPUT 2020 Hourly'!$B$1)</f>
        <v>2385.0536621466767</v>
      </c>
      <c r="H18" s="21">
        <f>('FREEVAL INPUT 2020 Hourly'!H18)*(1+$B$4)^($B$1-'FREEVAL INPUT 2020 Hourly'!$B$1)</f>
        <v>753.17484067789781</v>
      </c>
      <c r="I18" s="21">
        <f>('FREEVAL INPUT 2020 Hourly'!I18)*(1+$B$4)^($B$1-'FREEVAL INPUT 2020 Hourly'!$B$1)</f>
        <v>1631.8788214687788</v>
      </c>
      <c r="J18" s="21">
        <f>('FREEVAL INPUT 2020 Hourly'!J18)*(1+$B$4)^($B$1-'FREEVAL INPUT 2020 Hourly'!$B$1)</f>
        <v>150.85519469718128</v>
      </c>
      <c r="K18" s="21">
        <f>('FREEVAL INPUT 2020 Hourly'!K18)*(1+$B$4)^($B$1-'FREEVAL INPUT 2020 Hourly'!$B$1)</f>
        <v>1782.7340161659599</v>
      </c>
      <c r="L18" s="21">
        <f>('FREEVAL INPUT 2020 Hourly'!L18)*(1+$B$4)^($B$1-'FREEVAL INPUT 2020 Hourly'!$B$1)</f>
        <v>813.73714511837215</v>
      </c>
      <c r="M18" s="21">
        <f>('FREEVAL INPUT 2020 Hourly'!M18)*(1+$B$4)^($B$1-'FREEVAL INPUT 2020 Hourly'!$B$1)</f>
        <v>968.99687104758777</v>
      </c>
      <c r="N18" s="21">
        <f>('FREEVAL INPUT 2020 Hourly'!N18)*(1+$B$4)^($B$1-'FREEVAL INPUT 2020 Hourly'!$B$1)</f>
        <v>269.77753796211255</v>
      </c>
      <c r="O18" s="21">
        <f>('FREEVAL INPUT 2020 Hourly'!O18)*(1+$B$4)^($B$1-'FREEVAL INPUT 2020 Hourly'!$B$1)</f>
        <v>1238.7744090097005</v>
      </c>
      <c r="P18" s="21">
        <f>('FREEVAL INPUT 2020 Hourly'!P18)*(1+$B$4)^($B$1-'FREEVAL INPUT 2020 Hourly'!$B$1)</f>
        <v>83.686093408655324</v>
      </c>
      <c r="Q18" s="21">
        <f>('FREEVAL INPUT 2020 Hourly'!Q18)*(1+$B$4)^($B$1-'FREEVAL INPUT 2020 Hourly'!$B$1)</f>
        <v>1155.088315601045</v>
      </c>
      <c r="R18" s="21">
        <f>('FREEVAL INPUT 2020 Hourly'!R18)*(1+$B$4)^($B$1-'FREEVAL INPUT 2020 Hourly'!$B$1)</f>
        <v>96.899687104758783</v>
      </c>
      <c r="S18" s="21">
        <f>('FREEVAL INPUT 2020 Hourly'!S18)*(1+$B$4)^($B$1-'FREEVAL INPUT 2020 Hourly'!$B$1)</f>
        <v>1251.9880027058039</v>
      </c>
    </row>
    <row r="19" spans="1:19" x14ac:dyDescent="0.25">
      <c r="B19" s="38">
        <f t="shared" si="0"/>
        <v>13438.22478893723</v>
      </c>
      <c r="C19" s="20">
        <v>0.5</v>
      </c>
      <c r="D19" s="21">
        <f>('FREEVAL INPUT 2020 Hourly'!D19)*(1+$B$4)^($B$1-'FREEVAL INPUT 2020 Hourly'!$B$1)</f>
        <v>2443.4137009711335</v>
      </c>
      <c r="E19" s="113">
        <f>('FREEVAL INPUT 2020 Hourly'!E19)*(1+$B$4)^($B$1-'FREEVAL INPUT 2020 Hourly'!$B$1)</f>
        <v>94.69742148874154</v>
      </c>
      <c r="F19" s="21">
        <f>('FREEVAL INPUT 2020 Hourly'!F19)*(1+$B$4)^($B$1-'FREEVAL INPUT 2020 Hourly'!$B$1)</f>
        <v>2538.1111224598753</v>
      </c>
      <c r="G19" s="21">
        <f>('FREEVAL INPUT 2020 Hourly'!G19)*(1+$B$4)^($B$1-'FREEVAL INPUT 2020 Hourly'!$B$1)</f>
        <v>2538.1111224598753</v>
      </c>
      <c r="H19" s="21">
        <f>('FREEVAL INPUT 2020 Hourly'!H19)*(1+$B$4)^($B$1-'FREEVAL INPUT 2020 Hourly'!$B$1)</f>
        <v>768.59069999001861</v>
      </c>
      <c r="I19" s="21">
        <f>('FREEVAL INPUT 2020 Hourly'!I19)*(1+$B$4)^($B$1-'FREEVAL INPUT 2020 Hourly'!$B$1)</f>
        <v>1769.5204224698566</v>
      </c>
      <c r="J19" s="21">
        <f>('FREEVAL INPUT 2020 Hourly'!J19)*(1+$B$4)^($B$1-'FREEVAL INPUT 2020 Hourly'!$B$1)</f>
        <v>160.76538996925891</v>
      </c>
      <c r="K19" s="21">
        <f>('FREEVAL INPUT 2020 Hourly'!K19)*(1+$B$4)^($B$1-'FREEVAL INPUT 2020 Hourly'!$B$1)</f>
        <v>1930.2858124391155</v>
      </c>
      <c r="L19" s="21">
        <f>('FREEVAL INPUT 2020 Hourly'!L19)*(1+$B$4)^($B$1-'FREEVAL INPUT 2020 Hourly'!$B$1)</f>
        <v>941.4685508473724</v>
      </c>
      <c r="M19" s="21">
        <f>('FREEVAL INPUT 2020 Hourly'!M19)*(1+$B$4)^($B$1-'FREEVAL INPUT 2020 Hourly'!$B$1)</f>
        <v>988.81726159174309</v>
      </c>
      <c r="N19" s="21">
        <f>('FREEVAL INPUT 2020 Hourly'!N19)*(1+$B$4)^($B$1-'FREEVAL INPUT 2020 Hourly'!$B$1)</f>
        <v>312.72171747444878</v>
      </c>
      <c r="O19" s="21">
        <f>('FREEVAL INPUT 2020 Hourly'!O19)*(1+$B$4)^($B$1-'FREEVAL INPUT 2020 Hourly'!$B$1)</f>
        <v>1301.5389790661918</v>
      </c>
      <c r="P19" s="21">
        <f>('FREEVAL INPUT 2020 Hourly'!P19)*(1+$B$4)^($B$1-'FREEVAL INPUT 2020 Hourly'!$B$1)</f>
        <v>81.483827792638067</v>
      </c>
      <c r="Q19" s="21">
        <f>('FREEVAL INPUT 2020 Hourly'!Q19)*(1+$B$4)^($B$1-'FREEVAL INPUT 2020 Hourly'!$B$1)</f>
        <v>1220.0551512735537</v>
      </c>
      <c r="R19" s="21">
        <f>('FREEVAL INPUT 2020 Hourly'!R19)*(1+$B$4)^($B$1-'FREEVAL INPUT 2020 Hourly'!$B$1)</f>
        <v>102.40535114480191</v>
      </c>
      <c r="S19" s="21">
        <f>('FREEVAL INPUT 2020 Hourly'!S19)*(1+$B$4)^($B$1-'FREEVAL INPUT 2020 Hourly'!$B$1)</f>
        <v>1322.4605024183556</v>
      </c>
    </row>
    <row r="20" spans="1:19" x14ac:dyDescent="0.25">
      <c r="B20" s="38">
        <f t="shared" si="0"/>
        <v>14384.097871016638</v>
      </c>
      <c r="C20" s="20">
        <v>0.54166666666666596</v>
      </c>
      <c r="D20" s="21">
        <f>('FREEVAL INPUT 2020 Hourly'!D20)*(1+$B$4)^($B$1-'FREEVAL INPUT 2020 Hourly'!$B$1)</f>
        <v>2575.549637932168</v>
      </c>
      <c r="E20" s="113">
        <f>('FREEVAL INPUT 2020 Hourly'!E20)*(1+$B$4)^($B$1-'FREEVAL INPUT 2020 Hourly'!$B$1)</f>
        <v>96.899687104758783</v>
      </c>
      <c r="F20" s="21">
        <f>('FREEVAL INPUT 2020 Hourly'!F20)*(1+$B$4)^($B$1-'FREEVAL INPUT 2020 Hourly'!$B$1)</f>
        <v>2672.4493250369269</v>
      </c>
      <c r="G20" s="21">
        <f>('FREEVAL INPUT 2020 Hourly'!G20)*(1+$B$4)^($B$1-'FREEVAL INPUT 2020 Hourly'!$B$1)</f>
        <v>2672.4493250369269</v>
      </c>
      <c r="H20" s="21">
        <f>('FREEVAL INPUT 2020 Hourly'!H20)*(1+$B$4)^($B$1-'FREEVAL INPUT 2020 Hourly'!$B$1)</f>
        <v>813.73714511837215</v>
      </c>
      <c r="I20" s="21">
        <f>('FREEVAL INPUT 2020 Hourly'!I20)*(1+$B$4)^($B$1-'FREEVAL INPUT 2020 Hourly'!$B$1)</f>
        <v>1858.712179918555</v>
      </c>
      <c r="J20" s="21">
        <f>('FREEVAL INPUT 2020 Hourly'!J20)*(1+$B$4)^($B$1-'FREEVAL INPUT 2020 Hourly'!$B$1)</f>
        <v>186.09144455345722</v>
      </c>
      <c r="K20" s="21">
        <f>('FREEVAL INPUT 2020 Hourly'!K20)*(1+$B$4)^($B$1-'FREEVAL INPUT 2020 Hourly'!$B$1)</f>
        <v>2044.803624472012</v>
      </c>
      <c r="L20" s="21">
        <f>('FREEVAL INPUT 2020 Hourly'!L20)*(1+$B$4)^($B$1-'FREEVAL INPUT 2020 Hourly'!$B$1)</f>
        <v>939.26628523135514</v>
      </c>
      <c r="M20" s="21">
        <f>('FREEVAL INPUT 2020 Hourly'!M20)*(1+$B$4)^($B$1-'FREEVAL INPUT 2020 Hourly'!$B$1)</f>
        <v>1105.537339240657</v>
      </c>
      <c r="N20" s="21">
        <f>('FREEVAL INPUT 2020 Hourly'!N20)*(1+$B$4)^($B$1-'FREEVAL INPUT 2020 Hourly'!$B$1)</f>
        <v>328.13757678656953</v>
      </c>
      <c r="O20" s="21">
        <f>('FREEVAL INPUT 2020 Hourly'!O20)*(1+$B$4)^($B$1-'FREEVAL INPUT 2020 Hourly'!$B$1)</f>
        <v>1433.6749160272266</v>
      </c>
      <c r="P20" s="21">
        <f>('FREEVAL INPUT 2020 Hourly'!P20)*(1+$B$4)^($B$1-'FREEVAL INPUT 2020 Hourly'!$B$1)</f>
        <v>92.495155872724297</v>
      </c>
      <c r="Q20" s="21">
        <f>('FREEVAL INPUT 2020 Hourly'!Q20)*(1+$B$4)^($B$1-'FREEVAL INPUT 2020 Hourly'!$B$1)</f>
        <v>1341.1797601545024</v>
      </c>
      <c r="R20" s="21">
        <f>('FREEVAL INPUT 2020 Hourly'!R20)*(1+$B$4)^($B$1-'FREEVAL INPUT 2020 Hourly'!$B$1)</f>
        <v>113.41667922488813</v>
      </c>
      <c r="S20" s="21">
        <f>('FREEVAL INPUT 2020 Hourly'!S20)*(1+$B$4)^($B$1-'FREEVAL INPUT 2020 Hourly'!$B$1)</f>
        <v>1454.5964393793904</v>
      </c>
    </row>
    <row r="21" spans="1:19" x14ac:dyDescent="0.25">
      <c r="B21" s="38">
        <f t="shared" si="0"/>
        <v>16566.543096489728</v>
      </c>
      <c r="C21" s="20">
        <v>0.58333333333333304</v>
      </c>
      <c r="D21" s="21">
        <f>('FREEVAL INPUT 2020 Hourly'!D21)*(1+$B$4)^($B$1-'FREEVAL INPUT 2020 Hourly'!$B$1)</f>
        <v>3028.1152220237122</v>
      </c>
      <c r="E21" s="113">
        <f>('FREEVAL INPUT 2020 Hourly'!E21)*(1+$B$4)^($B$1-'FREEVAL INPUT 2020 Hourly'!$B$1)</f>
        <v>101.30421833679328</v>
      </c>
      <c r="F21" s="21">
        <f>('FREEVAL INPUT 2020 Hourly'!F21)*(1+$B$4)^($B$1-'FREEVAL INPUT 2020 Hourly'!$B$1)</f>
        <v>3129.4194403605052</v>
      </c>
      <c r="G21" s="21">
        <f>('FREEVAL INPUT 2020 Hourly'!G21)*(1+$B$4)^($B$1-'FREEVAL INPUT 2020 Hourly'!$B$1)</f>
        <v>3129.4194403605052</v>
      </c>
      <c r="H21" s="21">
        <f>('FREEVAL INPUT 2020 Hourly'!H21)*(1+$B$4)^($B$1-'FREEVAL INPUT 2020 Hourly'!$B$1)</f>
        <v>956.88441015949297</v>
      </c>
      <c r="I21" s="21">
        <f>('FREEVAL INPUT 2020 Hourly'!I21)*(1+$B$4)^($B$1-'FREEVAL INPUT 2020 Hourly'!$B$1)</f>
        <v>2172.535030201012</v>
      </c>
      <c r="J21" s="21">
        <f>('FREEVAL INPUT 2020 Hourly'!J21)*(1+$B$4)^($B$1-'FREEVAL INPUT 2020 Hourly'!$B$1)</f>
        <v>177.28238208938822</v>
      </c>
      <c r="K21" s="21">
        <f>('FREEVAL INPUT 2020 Hourly'!K21)*(1+$B$4)^($B$1-'FREEVAL INPUT 2020 Hourly'!$B$1)</f>
        <v>2349.8174122904006</v>
      </c>
      <c r="L21" s="21">
        <f>('FREEVAL INPUT 2020 Hourly'!L21)*(1+$B$4)^($B$1-'FREEVAL INPUT 2020 Hourly'!$B$1)</f>
        <v>1074.7056206164157</v>
      </c>
      <c r="M21" s="21">
        <f>('FREEVAL INPUT 2020 Hourly'!M21)*(1+$B$4)^($B$1-'FREEVAL INPUT 2020 Hourly'!$B$1)</f>
        <v>1275.111791673985</v>
      </c>
      <c r="N21" s="21">
        <f>('FREEVAL INPUT 2020 Hourly'!N21)*(1+$B$4)^($B$1-'FREEVAL INPUT 2020 Hourly'!$B$1)</f>
        <v>356.7670297947937</v>
      </c>
      <c r="O21" s="21">
        <f>('FREEVAL INPUT 2020 Hourly'!O21)*(1+$B$4)^($B$1-'FREEVAL INPUT 2020 Hourly'!$B$1)</f>
        <v>1631.8788214687788</v>
      </c>
      <c r="P21" s="21">
        <f>('FREEVAL INPUT 2020 Hourly'!P21)*(1+$B$4)^($B$1-'FREEVAL INPUT 2020 Hourly'!$B$1)</f>
        <v>94.69742148874154</v>
      </c>
      <c r="Q21" s="21">
        <f>('FREEVAL INPUT 2020 Hourly'!Q21)*(1+$B$4)^($B$1-'FREEVAL INPUT 2020 Hourly'!$B$1)</f>
        <v>1537.1813999800372</v>
      </c>
      <c r="R21" s="21">
        <f>('FREEVAL INPUT 2020 Hourly'!R21)*(1+$B$4)^($B$1-'FREEVAL INPUT 2020 Hourly'!$B$1)</f>
        <v>136.54046819306922</v>
      </c>
      <c r="S21" s="21">
        <f>('FREEVAL INPUT 2020 Hourly'!S21)*(1+$B$4)^($B$1-'FREEVAL INPUT 2020 Hourly'!$B$1)</f>
        <v>1673.7218681731063</v>
      </c>
    </row>
    <row r="22" spans="1:19" x14ac:dyDescent="0.25">
      <c r="B22" s="38">
        <f t="shared" si="0"/>
        <v>22728.482290105978</v>
      </c>
      <c r="C22" s="20">
        <v>0.625</v>
      </c>
      <c r="D22" s="21">
        <f>('FREEVAL INPUT 2020 Hourly'!D22)*(1+$B$4)^($B$1-'FREEVAL INPUT 2020 Hourly'!$B$1)</f>
        <v>4157.8774830405591</v>
      </c>
      <c r="E22" s="113">
        <f>('FREEVAL INPUT 2020 Hourly'!E22)*(1+$B$4)^($B$1-'FREEVAL INPUT 2020 Hourly'!$B$1)</f>
        <v>107.91101518484501</v>
      </c>
      <c r="F22" s="21">
        <f>('FREEVAL INPUT 2020 Hourly'!F22)*(1+$B$4)^($B$1-'FREEVAL INPUT 2020 Hourly'!$B$1)</f>
        <v>4265.7884982254045</v>
      </c>
      <c r="G22" s="21">
        <f>('FREEVAL INPUT 2020 Hourly'!G22)*(1+$B$4)^($B$1-'FREEVAL INPUT 2020 Hourly'!$B$1)</f>
        <v>4265.7884982254045</v>
      </c>
      <c r="H22" s="21">
        <f>('FREEVAL INPUT 2020 Hourly'!H22)*(1+$B$4)^($B$1-'FREEVAL INPUT 2020 Hourly'!$B$1)</f>
        <v>1183.7177686092693</v>
      </c>
      <c r="I22" s="21">
        <f>('FREEVAL INPUT 2020 Hourly'!I22)*(1+$B$4)^($B$1-'FREEVAL INPUT 2020 Hourly'!$B$1)</f>
        <v>3082.0707296161345</v>
      </c>
      <c r="J22" s="21">
        <f>('FREEVAL INPUT 2020 Hourly'!J22)*(1+$B$4)^($B$1-'FREEVAL INPUT 2020 Hourly'!$B$1)</f>
        <v>194.90050701752619</v>
      </c>
      <c r="K22" s="21">
        <f>('FREEVAL INPUT 2020 Hourly'!K22)*(1+$B$4)^($B$1-'FREEVAL INPUT 2020 Hourly'!$B$1)</f>
        <v>3276.9712366336612</v>
      </c>
      <c r="L22" s="21">
        <f>('FREEVAL INPUT 2020 Hourly'!L22)*(1+$B$4)^($B$1-'FREEVAL INPUT 2020 Hourly'!$B$1)</f>
        <v>1337.8763617304764</v>
      </c>
      <c r="M22" s="21">
        <f>('FREEVAL INPUT 2020 Hourly'!M22)*(1+$B$4)^($B$1-'FREEVAL INPUT 2020 Hourly'!$B$1)</f>
        <v>1939.0948749031843</v>
      </c>
      <c r="N22" s="21">
        <f>('FREEVAL INPUT 2020 Hourly'!N22)*(1+$B$4)^($B$1-'FREEVAL INPUT 2020 Hourly'!$B$1)</f>
        <v>361.17156102682821</v>
      </c>
      <c r="O22" s="21">
        <f>('FREEVAL INPUT 2020 Hourly'!O22)*(1+$B$4)^($B$1-'FREEVAL INPUT 2020 Hourly'!$B$1)</f>
        <v>2300.2664359300124</v>
      </c>
      <c r="P22" s="21">
        <f>('FREEVAL INPUT 2020 Hourly'!P22)*(1+$B$4)^($B$1-'FREEVAL INPUT 2020 Hourly'!$B$1)</f>
        <v>168.47331962531928</v>
      </c>
      <c r="Q22" s="21">
        <f>('FREEVAL INPUT 2020 Hourly'!Q22)*(1+$B$4)^($B$1-'FREEVAL INPUT 2020 Hourly'!$B$1)</f>
        <v>2131.7931163046933</v>
      </c>
      <c r="R22" s="21">
        <f>('FREEVAL INPUT 2020 Hourly'!R22)*(1+$B$4)^($B$1-'FREEVAL INPUT 2020 Hourly'!$B$1)</f>
        <v>177.28238208938822</v>
      </c>
      <c r="S22" s="21">
        <f>('FREEVAL INPUT 2020 Hourly'!S22)*(1+$B$4)^($B$1-'FREEVAL INPUT 2020 Hourly'!$B$1)</f>
        <v>2309.0754983940815</v>
      </c>
    </row>
    <row r="23" spans="1:19" s="51" customFormat="1" x14ac:dyDescent="0.25">
      <c r="A23" s="102" t="s">
        <v>242</v>
      </c>
      <c r="B23" s="39">
        <f t="shared" si="0"/>
        <v>23994</v>
      </c>
      <c r="C23" s="40">
        <v>0.66666666666666596</v>
      </c>
      <c r="D23" s="44">
        <v>4144</v>
      </c>
      <c r="E23" s="44">
        <v>109</v>
      </c>
      <c r="F23" s="44">
        <v>4253</v>
      </c>
      <c r="G23" s="44">
        <v>4253</v>
      </c>
      <c r="H23" s="44">
        <v>1148</v>
      </c>
      <c r="I23" s="44">
        <v>3105</v>
      </c>
      <c r="J23" s="44">
        <v>345</v>
      </c>
      <c r="K23" s="44">
        <v>3450</v>
      </c>
      <c r="L23" s="44">
        <v>1356</v>
      </c>
      <c r="M23" s="44">
        <v>2094</v>
      </c>
      <c r="N23" s="44">
        <v>424</v>
      </c>
      <c r="O23" s="44">
        <v>2518</v>
      </c>
      <c r="P23" s="44">
        <v>281</v>
      </c>
      <c r="Q23" s="44">
        <v>2237</v>
      </c>
      <c r="R23" s="44">
        <v>273</v>
      </c>
      <c r="S23" s="44">
        <v>2510</v>
      </c>
    </row>
    <row r="24" spans="1:19" x14ac:dyDescent="0.25">
      <c r="B24" s="38">
        <f t="shared" si="0"/>
        <v>22721.875493257925</v>
      </c>
      <c r="C24" s="20">
        <v>0.70833333333333304</v>
      </c>
      <c r="D24" s="21">
        <f>('FREEVAL INPUT 2020 Hourly'!D24)*(1+$B$4)^($B$1-'FREEVAL INPUT 2020 Hourly'!$B$1)</f>
        <v>4160.0797486565762</v>
      </c>
      <c r="E24" s="113">
        <f>('FREEVAL INPUT 2020 Hourly'!E24)*(1+$B$4)^($B$1-'FREEVAL INPUT 2020 Hourly'!$B$1)</f>
        <v>115.61894484090537</v>
      </c>
      <c r="F24" s="21">
        <f>('FREEVAL INPUT 2020 Hourly'!F24)*(1+$B$4)^($B$1-'FREEVAL INPUT 2020 Hourly'!$B$1)</f>
        <v>4275.6986934974811</v>
      </c>
      <c r="G24" s="21">
        <f>('FREEVAL INPUT 2020 Hourly'!G24)*(1+$B$4)^($B$1-'FREEVAL INPUT 2020 Hourly'!$B$1)</f>
        <v>4275.6986934974811</v>
      </c>
      <c r="H24" s="21">
        <f>('FREEVAL INPUT 2020 Hourly'!H24)*(1+$B$4)^($B$1-'FREEVAL INPUT 2020 Hourly'!$B$1)</f>
        <v>1217.8528856575365</v>
      </c>
      <c r="I24" s="21">
        <f>('FREEVAL INPUT 2020 Hourly'!I24)*(1+$B$4)^($B$1-'FREEVAL INPUT 2020 Hourly'!$B$1)</f>
        <v>3057.8458078399449</v>
      </c>
      <c r="J24" s="21">
        <f>('FREEVAL INPUT 2020 Hourly'!J24)*(1+$B$4)^($B$1-'FREEVAL INPUT 2020 Hourly'!$B$1)</f>
        <v>264.2718739220694</v>
      </c>
      <c r="K24" s="21">
        <f>('FREEVAL INPUT 2020 Hourly'!K24)*(1+$B$4)^($B$1-'FREEVAL INPUT 2020 Hourly'!$B$1)</f>
        <v>3322.1176817620144</v>
      </c>
      <c r="L24" s="21">
        <f>('FREEVAL INPUT 2020 Hourly'!L24)*(1+$B$4)^($B$1-'FREEVAL INPUT 2020 Hourly'!$B$1)</f>
        <v>1514.0576110118561</v>
      </c>
      <c r="M24" s="21">
        <f>('FREEVAL INPUT 2020 Hourly'!M24)*(1+$B$4)^($B$1-'FREEVAL INPUT 2020 Hourly'!$B$1)</f>
        <v>1808.0600707501583</v>
      </c>
      <c r="N24" s="21">
        <f>('FREEVAL INPUT 2020 Hourly'!N24)*(1+$B$4)^($B$1-'FREEVAL INPUT 2020 Hourly'!$B$1)</f>
        <v>415.12706861925068</v>
      </c>
      <c r="O24" s="21">
        <f>('FREEVAL INPUT 2020 Hourly'!O24)*(1+$B$4)^($B$1-'FREEVAL INPUT 2020 Hourly'!$B$1)</f>
        <v>2223.1871393694091</v>
      </c>
      <c r="P24" s="21">
        <f>('FREEVAL INPUT 2020 Hourly'!P24)*(1+$B$4)^($B$1-'FREEVAL INPUT 2020 Hourly'!$B$1)</f>
        <v>269.77753796211255</v>
      </c>
      <c r="Q24" s="21">
        <f>('FREEVAL INPUT 2020 Hourly'!Q24)*(1+$B$4)^($B$1-'FREEVAL INPUT 2020 Hourly'!$B$1)</f>
        <v>1953.4096014072963</v>
      </c>
      <c r="R24" s="21">
        <f>('FREEVAL INPUT 2020 Hourly'!R24)*(1+$B$4)^($B$1-'FREEVAL INPUT 2020 Hourly'!$B$1)</f>
        <v>223.5299600257504</v>
      </c>
      <c r="S24" s="21">
        <f>('FREEVAL INPUT 2020 Hourly'!S24)*(1+$B$4)^($B$1-'FREEVAL INPUT 2020 Hourly'!$B$1)</f>
        <v>2176.9395614330465</v>
      </c>
    </row>
    <row r="25" spans="1:19" x14ac:dyDescent="0.25">
      <c r="B25" s="38">
        <f t="shared" si="0"/>
        <v>17604.911334441858</v>
      </c>
      <c r="C25" s="20">
        <v>0.75</v>
      </c>
      <c r="D25" s="21">
        <f>('FREEVAL INPUT 2020 Hourly'!D25)*(1+$B$4)^($B$1-'FREEVAL INPUT 2020 Hourly'!$B$1)</f>
        <v>3228.5213930812815</v>
      </c>
      <c r="E25" s="113">
        <f>('FREEVAL INPUT 2020 Hourly'!E25)*(1+$B$4)^($B$1-'FREEVAL INPUT 2020 Hourly'!$B$1)</f>
        <v>103.50648395281051</v>
      </c>
      <c r="F25" s="21">
        <f>('FREEVAL INPUT 2020 Hourly'!F25)*(1+$B$4)^($B$1-'FREEVAL INPUT 2020 Hourly'!$B$1)</f>
        <v>3332.0278770340919</v>
      </c>
      <c r="G25" s="21">
        <f>('FREEVAL INPUT 2020 Hourly'!G25)*(1+$B$4)^($B$1-'FREEVAL INPUT 2020 Hourly'!$B$1)</f>
        <v>3332.0278770340919</v>
      </c>
      <c r="H25" s="21">
        <f>('FREEVAL INPUT 2020 Hourly'!H25)*(1+$B$4)^($B$1-'FREEVAL INPUT 2020 Hourly'!$B$1)</f>
        <v>929.35608995927748</v>
      </c>
      <c r="I25" s="21">
        <f>('FREEVAL INPUT 2020 Hourly'!I25)*(1+$B$4)^($B$1-'FREEVAL INPUT 2020 Hourly'!$B$1)</f>
        <v>2402.6717870748143</v>
      </c>
      <c r="J25" s="21">
        <f>('FREEVAL INPUT 2020 Hourly'!J25)*(1+$B$4)^($B$1-'FREEVAL INPUT 2020 Hourly'!$B$1)</f>
        <v>167.37218681731065</v>
      </c>
      <c r="K25" s="21">
        <f>('FREEVAL INPUT 2020 Hourly'!K25)*(1+$B$4)^($B$1-'FREEVAL INPUT 2020 Hourly'!$B$1)</f>
        <v>2570.043973892125</v>
      </c>
      <c r="L25" s="21">
        <f>('FREEVAL INPUT 2020 Hourly'!L25)*(1+$B$4)^($B$1-'FREEVAL INPUT 2020 Hourly'!$B$1)</f>
        <v>1188.1222998413039</v>
      </c>
      <c r="M25" s="21">
        <f>('FREEVAL INPUT 2020 Hourly'!M25)*(1+$B$4)^($B$1-'FREEVAL INPUT 2020 Hourly'!$B$1)</f>
        <v>1381.9216740508214</v>
      </c>
      <c r="N25" s="21">
        <f>('FREEVAL INPUT 2020 Hourly'!N25)*(1+$B$4)^($B$1-'FREEVAL INPUT 2020 Hourly'!$B$1)</f>
        <v>342.45230329068164</v>
      </c>
      <c r="O25" s="21">
        <f>('FREEVAL INPUT 2020 Hourly'!O25)*(1+$B$4)^($B$1-'FREEVAL INPUT 2020 Hourly'!$B$1)</f>
        <v>1724.373977341503</v>
      </c>
      <c r="P25" s="21">
        <f>('FREEVAL INPUT 2020 Hourly'!P25)*(1+$B$4)^($B$1-'FREEVAL INPUT 2020 Hourly'!$B$1)</f>
        <v>166.27105400930202</v>
      </c>
      <c r="Q25" s="21">
        <f>('FREEVAL INPUT 2020 Hourly'!Q25)*(1+$B$4)^($B$1-'FREEVAL INPUT 2020 Hourly'!$B$1)</f>
        <v>1558.1029233322008</v>
      </c>
      <c r="R25" s="21">
        <f>('FREEVAL INPUT 2020 Hourly'!R25)*(1+$B$4)^($B$1-'FREEVAL INPUT 2020 Hourly'!$B$1)</f>
        <v>142.04613223311233</v>
      </c>
      <c r="S25" s="21">
        <f>('FREEVAL INPUT 2020 Hourly'!S25)*(1+$B$4)^($B$1-'FREEVAL INPUT 2020 Hourly'!$B$1)</f>
        <v>1700.1490555653131</v>
      </c>
    </row>
    <row r="26" spans="1:19" x14ac:dyDescent="0.25">
      <c r="B26" s="38">
        <f t="shared" si="0"/>
        <v>11714.951944403736</v>
      </c>
      <c r="C26" s="20">
        <v>0.79166666666666596</v>
      </c>
      <c r="D26" s="21">
        <f>('FREEVAL INPUT 2020 Hourly'!D26)*(1+$B$4)^($B$1-'FREEVAL INPUT 2020 Hourly'!$B$1)</f>
        <v>2147.2089756168139</v>
      </c>
      <c r="E26" s="113">
        <f>('FREEVAL INPUT 2020 Hourly'!E26)*(1+$B$4)^($B$1-'FREEVAL INPUT 2020 Hourly'!$B$1)</f>
        <v>80.382694984629453</v>
      </c>
      <c r="F26" s="21">
        <f>('FREEVAL INPUT 2020 Hourly'!F26)*(1+$B$4)^($B$1-'FREEVAL INPUT 2020 Hourly'!$B$1)</f>
        <v>2227.5916706014436</v>
      </c>
      <c r="G26" s="21">
        <f>('FREEVAL INPUT 2020 Hourly'!G26)*(1+$B$4)^($B$1-'FREEVAL INPUT 2020 Hourly'!$B$1)</f>
        <v>2227.5916706014436</v>
      </c>
      <c r="H26" s="21">
        <f>('FREEVAL INPUT 2020 Hourly'!H26)*(1+$B$4)^($B$1-'FREEVAL INPUT 2020 Hourly'!$B$1)</f>
        <v>745.46691102183752</v>
      </c>
      <c r="I26" s="21">
        <f>('FREEVAL INPUT 2020 Hourly'!I26)*(1+$B$4)^($B$1-'FREEVAL INPUT 2020 Hourly'!$B$1)</f>
        <v>1482.124759579606</v>
      </c>
      <c r="J26" s="21">
        <f>('FREEVAL INPUT 2020 Hourly'!J26)*(1+$B$4)^($B$1-'FREEVAL INPUT 2020 Hourly'!$B$1)</f>
        <v>156.36085873722439</v>
      </c>
      <c r="K26" s="21">
        <f>('FREEVAL INPUT 2020 Hourly'!K26)*(1+$B$4)^($B$1-'FREEVAL INPUT 2020 Hourly'!$B$1)</f>
        <v>1638.4856183168306</v>
      </c>
      <c r="L26" s="21">
        <f>('FREEVAL INPUT 2020 Hourly'!L26)*(1+$B$4)^($B$1-'FREEVAL INPUT 2020 Hourly'!$B$1)</f>
        <v>791.71448895819969</v>
      </c>
      <c r="M26" s="21">
        <f>('FREEVAL INPUT 2020 Hourly'!M26)*(1+$B$4)^($B$1-'FREEVAL INPUT 2020 Hourly'!$B$1)</f>
        <v>846.77112935863067</v>
      </c>
      <c r="N26" s="21">
        <f>('FREEVAL INPUT 2020 Hourly'!N26)*(1+$B$4)^($B$1-'FREEVAL INPUT 2020 Hourly'!$B$1)</f>
        <v>290.69906131427632</v>
      </c>
      <c r="O26" s="21">
        <f>('FREEVAL INPUT 2020 Hourly'!O26)*(1+$B$4)^($B$1-'FREEVAL INPUT 2020 Hourly'!$B$1)</f>
        <v>1137.4701906729072</v>
      </c>
      <c r="P26" s="21">
        <f>('FREEVAL INPUT 2020 Hourly'!P26)*(1+$B$4)^($B$1-'FREEVAL INPUT 2020 Hourly'!$B$1)</f>
        <v>110.11328080086226</v>
      </c>
      <c r="Q26" s="21">
        <f>('FREEVAL INPUT 2020 Hourly'!Q26)*(1+$B$4)^($B$1-'FREEVAL INPUT 2020 Hourly'!$B$1)</f>
        <v>1027.3569098720448</v>
      </c>
      <c r="R26" s="21">
        <f>('FREEVAL INPUT 2020 Hourly'!R26)*(1+$B$4)^($B$1-'FREEVAL INPUT 2020 Hourly'!$B$1)</f>
        <v>116.720077648914</v>
      </c>
      <c r="S26" s="21">
        <f>('FREEVAL INPUT 2020 Hourly'!S26)*(1+$B$4)^($B$1-'FREEVAL INPUT 2020 Hourly'!$B$1)</f>
        <v>1144.0769875209589</v>
      </c>
    </row>
    <row r="27" spans="1:19" x14ac:dyDescent="0.25">
      <c r="B27" s="38">
        <f t="shared" si="0"/>
        <v>9059.0196114869377</v>
      </c>
      <c r="C27" s="20">
        <v>0.83333333333333304</v>
      </c>
      <c r="D27" s="21">
        <f>('FREEVAL INPUT 2020 Hourly'!D27)*(1+$B$4)^($B$1-'FREEVAL INPUT 2020 Hourly'!$B$1)</f>
        <v>1653.9014776289509</v>
      </c>
      <c r="E27" s="113">
        <f>('FREEVAL INPUT 2020 Hourly'!E27)*(1+$B$4)^($B$1-'FREEVAL INPUT 2020 Hourly'!$B$1)</f>
        <v>64.966835672508736</v>
      </c>
      <c r="F27" s="21">
        <f>('FREEVAL INPUT 2020 Hourly'!F27)*(1+$B$4)^($B$1-'FREEVAL INPUT 2020 Hourly'!$B$1)</f>
        <v>1718.8683133014599</v>
      </c>
      <c r="G27" s="21">
        <f>('FREEVAL INPUT 2020 Hourly'!G27)*(1+$B$4)^($B$1-'FREEVAL INPUT 2020 Hourly'!$B$1)</f>
        <v>1718.8683133014599</v>
      </c>
      <c r="H27" s="21">
        <f>('FREEVAL INPUT 2020 Hourly'!H27)*(1+$B$4)^($B$1-'FREEVAL INPUT 2020 Hourly'!$B$1)</f>
        <v>585.80265386058716</v>
      </c>
      <c r="I27" s="21">
        <f>('FREEVAL INPUT 2020 Hourly'!I27)*(1+$B$4)^($B$1-'FREEVAL INPUT 2020 Hourly'!$B$1)</f>
        <v>1133.0656594408727</v>
      </c>
      <c r="J27" s="21">
        <f>('FREEVAL INPUT 2020 Hourly'!J27)*(1+$B$4)^($B$1-'FREEVAL INPUT 2020 Hourly'!$B$1)</f>
        <v>138.74273380908645</v>
      </c>
      <c r="K27" s="21">
        <f>('FREEVAL INPUT 2020 Hourly'!K27)*(1+$B$4)^($B$1-'FREEVAL INPUT 2020 Hourly'!$B$1)</f>
        <v>1271.808393249959</v>
      </c>
      <c r="L27" s="21">
        <f>('FREEVAL INPUT 2020 Hourly'!L27)*(1+$B$4)^($B$1-'FREEVAL INPUT 2020 Hourly'!$B$1)</f>
        <v>593.51058351664756</v>
      </c>
      <c r="M27" s="21">
        <f>('FREEVAL INPUT 2020 Hourly'!M27)*(1+$B$4)^($B$1-'FREEVAL INPUT 2020 Hourly'!$B$1)</f>
        <v>678.29780973331151</v>
      </c>
      <c r="N27" s="21">
        <f>('FREEVAL INPUT 2020 Hourly'!N27)*(1+$B$4)^($B$1-'FREEVAL INPUT 2020 Hourly'!$B$1)</f>
        <v>209.21523352163828</v>
      </c>
      <c r="O27" s="21">
        <f>('FREEVAL INPUT 2020 Hourly'!O27)*(1+$B$4)^($B$1-'FREEVAL INPUT 2020 Hourly'!$B$1)</f>
        <v>887.51304325494982</v>
      </c>
      <c r="P27" s="21">
        <f>('FREEVAL INPUT 2020 Hourly'!P27)*(1+$B$4)^($B$1-'FREEVAL INPUT 2020 Hourly'!$B$1)</f>
        <v>80.382694984629453</v>
      </c>
      <c r="Q27" s="21">
        <f>('FREEVAL INPUT 2020 Hourly'!Q27)*(1+$B$4)^($B$1-'FREEVAL INPUT 2020 Hourly'!$B$1)</f>
        <v>807.13034827032038</v>
      </c>
      <c r="R27" s="21">
        <f>('FREEVAL INPUT 2020 Hourly'!R27)*(1+$B$4)^($B$1-'FREEVAL INPUT 2020 Hourly'!$B$1)</f>
        <v>73.775898136577709</v>
      </c>
      <c r="S27" s="21">
        <f>('FREEVAL INPUT 2020 Hourly'!S27)*(1+$B$4)^($B$1-'FREEVAL INPUT 2020 Hourly'!$B$1)</f>
        <v>880.90624640689805</v>
      </c>
    </row>
    <row r="28" spans="1:19" x14ac:dyDescent="0.25">
      <c r="B28" s="38">
        <f t="shared" si="0"/>
        <v>6763.1577067889593</v>
      </c>
      <c r="C28" s="20">
        <v>0.875</v>
      </c>
      <c r="D28" s="21">
        <f>('FREEVAL INPUT 2020 Hourly'!D28)*(1+$B$4)^($B$1-'FREEVAL INPUT 2020 Hourly'!$B$1)</f>
        <v>1282.8197213300452</v>
      </c>
      <c r="E28" s="113">
        <f>('FREEVAL INPUT 2020 Hourly'!E28)*(1+$B$4)^($B$1-'FREEVAL INPUT 2020 Hourly'!$B$1)</f>
        <v>52.854374784413885</v>
      </c>
      <c r="F28" s="21">
        <f>('FREEVAL INPUT 2020 Hourly'!F28)*(1+$B$4)^($B$1-'FREEVAL INPUT 2020 Hourly'!$B$1)</f>
        <v>1335.6740961144592</v>
      </c>
      <c r="G28" s="21">
        <f>('FREEVAL INPUT 2020 Hourly'!G28)*(1+$B$4)^($B$1-'FREEVAL INPUT 2020 Hourly'!$B$1)</f>
        <v>1335.6740961144592</v>
      </c>
      <c r="H28" s="21">
        <f>('FREEVAL INPUT 2020 Hourly'!H28)*(1+$B$4)^($B$1-'FREEVAL INPUT 2020 Hourly'!$B$1)</f>
        <v>417.32933423526794</v>
      </c>
      <c r="I28" s="21">
        <f>('FREEVAL INPUT 2020 Hourly'!I28)*(1+$B$4)^($B$1-'FREEVAL INPUT 2020 Hourly'!$B$1)</f>
        <v>918.34476187919131</v>
      </c>
      <c r="J28" s="21">
        <f>('FREEVAL INPUT 2020 Hourly'!J28)*(1+$B$4)^($B$1-'FREEVAL INPUT 2020 Hourly'!$B$1)</f>
        <v>58.360038824457</v>
      </c>
      <c r="K28" s="21">
        <f>('FREEVAL INPUT 2020 Hourly'!K28)*(1+$B$4)^($B$1-'FREEVAL INPUT 2020 Hourly'!$B$1)</f>
        <v>976.70480070364817</v>
      </c>
      <c r="L28" s="21">
        <f>('FREEVAL INPUT 2020 Hourly'!L28)*(1+$B$4)^($B$1-'FREEVAL INPUT 2020 Hourly'!$B$1)</f>
        <v>474.58824025171634</v>
      </c>
      <c r="M28" s="21">
        <f>('FREEVAL INPUT 2020 Hourly'!M28)*(1+$B$4)^($B$1-'FREEVAL INPUT 2020 Hourly'!$B$1)</f>
        <v>502.11656045193189</v>
      </c>
      <c r="N28" s="21">
        <f>('FREEVAL INPUT 2020 Hourly'!N28)*(1+$B$4)^($B$1-'FREEVAL INPUT 2020 Hourly'!$B$1)</f>
        <v>139.84386661709507</v>
      </c>
      <c r="O28" s="21">
        <f>('FREEVAL INPUT 2020 Hourly'!O28)*(1+$B$4)^($B$1-'FREEVAL INPUT 2020 Hourly'!$B$1)</f>
        <v>641.96042706902699</v>
      </c>
      <c r="P28" s="21">
        <f>('FREEVAL INPUT 2020 Hourly'!P28)*(1+$B$4)^($B$1-'FREEVAL INPUT 2020 Hourly'!$B$1)</f>
        <v>64.966835672508736</v>
      </c>
      <c r="Q28" s="21">
        <f>('FREEVAL INPUT 2020 Hourly'!Q28)*(1+$B$4)^($B$1-'FREEVAL INPUT 2020 Hourly'!$B$1)</f>
        <v>576.99359139651813</v>
      </c>
      <c r="R28" s="21">
        <f>('FREEVAL INPUT 2020 Hourly'!R28)*(1+$B$4)^($B$1-'FREEVAL INPUT 2020 Hourly'!$B$1)</f>
        <v>39.640781088310412</v>
      </c>
      <c r="S28" s="21">
        <f>('FREEVAL INPUT 2020 Hourly'!S28)*(1+$B$4)^($B$1-'FREEVAL INPUT 2020 Hourly'!$B$1)</f>
        <v>616.63437248482865</v>
      </c>
    </row>
    <row r="29" spans="1:19" x14ac:dyDescent="0.25">
      <c r="B29" s="38">
        <f t="shared" si="0"/>
        <v>4914.3557221424817</v>
      </c>
      <c r="C29" s="20">
        <v>0.91666666666666596</v>
      </c>
      <c r="D29" s="21">
        <f>('FREEVAL INPUT 2020 Hourly'!D29)*(1+$B$4)^($B$1-'FREEVAL INPUT 2020 Hourly'!$B$1)</f>
        <v>904.03003537507914</v>
      </c>
      <c r="E29" s="113">
        <f>('FREEVAL INPUT 2020 Hourly'!E29)*(1+$B$4)^($B$1-'FREEVAL INPUT 2020 Hourly'!$B$1)</f>
        <v>41.843046704327662</v>
      </c>
      <c r="F29" s="21">
        <f>('FREEVAL INPUT 2020 Hourly'!F29)*(1+$B$4)^($B$1-'FREEVAL INPUT 2020 Hourly'!$B$1)</f>
        <v>945.8730820794068</v>
      </c>
      <c r="G29" s="21">
        <f>('FREEVAL INPUT 2020 Hourly'!G29)*(1+$B$4)^($B$1-'FREEVAL INPUT 2020 Hourly'!$B$1)</f>
        <v>945.8730820794068</v>
      </c>
      <c r="H29" s="21">
        <f>('FREEVAL INPUT 2020 Hourly'!H29)*(1+$B$4)^($B$1-'FREEVAL INPUT 2020 Hourly'!$B$1)</f>
        <v>303.91265501037981</v>
      </c>
      <c r="I29" s="21">
        <f>('FREEVAL INPUT 2020 Hourly'!I29)*(1+$B$4)^($B$1-'FREEVAL INPUT 2020 Hourly'!$B$1)</f>
        <v>641.96042706902699</v>
      </c>
      <c r="J29" s="21">
        <f>('FREEVAL INPUT 2020 Hourly'!J29)*(1+$B$4)^($B$1-'FREEVAL INPUT 2020 Hourly'!$B$1)</f>
        <v>55.056640400431128</v>
      </c>
      <c r="K29" s="21">
        <f>('FREEVAL INPUT 2020 Hourly'!K29)*(1+$B$4)^($B$1-'FREEVAL INPUT 2020 Hourly'!$B$1)</f>
        <v>697.0170674694582</v>
      </c>
      <c r="L29" s="21">
        <f>('FREEVAL INPUT 2020 Hourly'!L29)*(1+$B$4)^($B$1-'FREEVAL INPUT 2020 Hourly'!$B$1)</f>
        <v>290.69906131427632</v>
      </c>
      <c r="M29" s="21">
        <f>('FREEVAL INPUT 2020 Hourly'!M29)*(1+$B$4)^($B$1-'FREEVAL INPUT 2020 Hourly'!$B$1)</f>
        <v>406.31800615518176</v>
      </c>
      <c r="N29" s="21">
        <f>('FREEVAL INPUT 2020 Hourly'!N29)*(1+$B$4)^($B$1-'FREEVAL INPUT 2020 Hourly'!$B$1)</f>
        <v>78.180429368612195</v>
      </c>
      <c r="O29" s="21">
        <f>('FREEVAL INPUT 2020 Hourly'!O29)*(1+$B$4)^($B$1-'FREEVAL INPUT 2020 Hourly'!$B$1)</f>
        <v>484.49843552379389</v>
      </c>
      <c r="P29" s="21">
        <f>('FREEVAL INPUT 2020 Hourly'!P29)*(1+$B$4)^($B$1-'FREEVAL INPUT 2020 Hourly'!$B$1)</f>
        <v>33.033984240258675</v>
      </c>
      <c r="Q29" s="21">
        <f>('FREEVAL INPUT 2020 Hourly'!Q29)*(1+$B$4)^($B$1-'FREEVAL INPUT 2020 Hourly'!$B$1)</f>
        <v>451.46445128353525</v>
      </c>
      <c r="R29" s="21">
        <f>('FREEVAL INPUT 2020 Hourly'!R29)*(1+$B$4)^($B$1-'FREEVAL INPUT 2020 Hourly'!$B$1)</f>
        <v>37.438515472293169</v>
      </c>
      <c r="S29" s="21">
        <f>('FREEVAL INPUT 2020 Hourly'!S29)*(1+$B$4)^($B$1-'FREEVAL INPUT 2020 Hourly'!$B$1)</f>
        <v>488.9029667558284</v>
      </c>
    </row>
    <row r="30" spans="1:19" x14ac:dyDescent="0.25">
      <c r="B30" s="38">
        <f t="shared" si="0"/>
        <v>3572.0748291799714</v>
      </c>
      <c r="C30" s="20">
        <v>0.95833333333333304</v>
      </c>
      <c r="D30" s="21">
        <f>('FREEVAL INPUT 2020 Hourly'!D30)*(1+$B$4)^($B$1-'FREEVAL INPUT 2020 Hourly'!$B$1)</f>
        <v>661.78081761318219</v>
      </c>
      <c r="E30" s="113">
        <f>('FREEVAL INPUT 2020 Hourly'!E30)*(1+$B$4)^($B$1-'FREEVAL INPUT 2020 Hourly'!$B$1)</f>
        <v>31.932851432250054</v>
      </c>
      <c r="F30" s="21">
        <f>('FREEVAL INPUT 2020 Hourly'!F30)*(1+$B$4)^($B$1-'FREEVAL INPUT 2020 Hourly'!$B$1)</f>
        <v>693.71366904543231</v>
      </c>
      <c r="G30" s="21">
        <f>('FREEVAL INPUT 2020 Hourly'!G30)*(1+$B$4)^($B$1-'FREEVAL INPUT 2020 Hourly'!$B$1)</f>
        <v>693.71366904543231</v>
      </c>
      <c r="H30" s="21">
        <f>('FREEVAL INPUT 2020 Hourly'!H30)*(1+$B$4)^($B$1-'FREEVAL INPUT 2020 Hourly'!$B$1)</f>
        <v>207.01296790562103</v>
      </c>
      <c r="I30" s="21">
        <f>('FREEVAL INPUT 2020 Hourly'!I30)*(1+$B$4)^($B$1-'FREEVAL INPUT 2020 Hourly'!$B$1)</f>
        <v>486.70070113981114</v>
      </c>
      <c r="J30" s="21">
        <f>('FREEVAL INPUT 2020 Hourly'!J30)*(1+$B$4)^($B$1-'FREEVAL INPUT 2020 Hourly'!$B$1)</f>
        <v>18.719257736146584</v>
      </c>
      <c r="K30" s="21">
        <f>('FREEVAL INPUT 2020 Hourly'!K30)*(1+$B$4)^($B$1-'FREEVAL INPUT 2020 Hourly'!$B$1)</f>
        <v>505.41995887595778</v>
      </c>
      <c r="L30" s="21">
        <f>('FREEVAL INPUT 2020 Hourly'!L30)*(1+$B$4)^($B$1-'FREEVAL INPUT 2020 Hourly'!$B$1)</f>
        <v>192.69824140150897</v>
      </c>
      <c r="M30" s="21">
        <f>('FREEVAL INPUT 2020 Hourly'!M30)*(1+$B$4)^($B$1-'FREEVAL INPUT 2020 Hourly'!$B$1)</f>
        <v>312.72171747444878</v>
      </c>
      <c r="N30" s="21">
        <f>('FREEVAL INPUT 2020 Hourly'!N30)*(1+$B$4)^($B$1-'FREEVAL INPUT 2020 Hourly'!$B$1)</f>
        <v>50.652109168396642</v>
      </c>
      <c r="O30" s="21">
        <f>('FREEVAL INPUT 2020 Hourly'!O30)*(1+$B$4)^($B$1-'FREEVAL INPUT 2020 Hourly'!$B$1)</f>
        <v>363.37382664284542</v>
      </c>
      <c r="P30" s="21">
        <f>('FREEVAL INPUT 2020 Hourly'!P30)*(1+$B$4)^($B$1-'FREEVAL INPUT 2020 Hourly'!$B$1)</f>
        <v>20.921523352163831</v>
      </c>
      <c r="Q30" s="21">
        <f>('FREEVAL INPUT 2020 Hourly'!Q30)*(1+$B$4)^($B$1-'FREEVAL INPUT 2020 Hourly'!$B$1)</f>
        <v>342.45230329068164</v>
      </c>
      <c r="R30" s="21">
        <f>('FREEVAL INPUT 2020 Hourly'!R30)*(1+$B$4)^($B$1-'FREEVAL INPUT 2020 Hourly'!$B$1)</f>
        <v>17.618124928137963</v>
      </c>
      <c r="S30" s="21">
        <f>('FREEVAL INPUT 2020 Hourly'!S30)*(1+$B$4)^($B$1-'FREEVAL INPUT 2020 Hourly'!$B$1)</f>
        <v>360.07042821881959</v>
      </c>
    </row>
    <row r="31" spans="1:19" x14ac:dyDescent="0.25">
      <c r="B31" s="167" t="s">
        <v>235</v>
      </c>
      <c r="C31" s="167"/>
      <c r="D31" s="167"/>
      <c r="E31" s="167"/>
      <c r="F31" s="167"/>
      <c r="G31" s="167"/>
      <c r="H31" s="167"/>
    </row>
    <row r="32" spans="1:19" s="84" customFormat="1" x14ac:dyDescent="0.25">
      <c r="A32" s="82"/>
      <c r="B32" s="83"/>
      <c r="C32" s="22" t="s">
        <v>255</v>
      </c>
      <c r="D32" s="22"/>
      <c r="E32" s="22"/>
      <c r="F32" s="22"/>
    </row>
    <row r="33" spans="1:18" s="81" customFormat="1" x14ac:dyDescent="0.25">
      <c r="A33" s="79"/>
      <c r="B33" s="95"/>
      <c r="C33" s="80" t="s">
        <v>257</v>
      </c>
    </row>
    <row r="34" spans="1:18" x14ac:dyDescent="0.25">
      <c r="B34" t="s">
        <v>43</v>
      </c>
      <c r="C34" s="22"/>
      <c r="D34" s="17">
        <v>1</v>
      </c>
      <c r="E34" s="17">
        <v>2</v>
      </c>
      <c r="F34" s="17">
        <v>3</v>
      </c>
      <c r="G34" s="17">
        <v>4</v>
      </c>
      <c r="H34" s="17">
        <v>5</v>
      </c>
      <c r="I34" s="17">
        <v>6</v>
      </c>
      <c r="J34" s="17">
        <v>7</v>
      </c>
      <c r="K34" s="17">
        <v>8</v>
      </c>
      <c r="L34" s="17">
        <v>9</v>
      </c>
      <c r="M34" s="17">
        <v>10</v>
      </c>
      <c r="N34" s="17">
        <v>11</v>
      </c>
      <c r="O34" s="21">
        <v>12</v>
      </c>
      <c r="P34" s="17">
        <v>13</v>
      </c>
      <c r="Q34" s="21">
        <v>14</v>
      </c>
      <c r="R34" s="21">
        <v>15</v>
      </c>
    </row>
    <row r="35" spans="1:18" x14ac:dyDescent="0.25">
      <c r="C35" s="16" t="s">
        <v>203</v>
      </c>
      <c r="D35" s="17" t="s">
        <v>201</v>
      </c>
      <c r="E35" s="17" t="s">
        <v>198</v>
      </c>
      <c r="F35" s="17" t="s">
        <v>199</v>
      </c>
      <c r="G35" s="17" t="s">
        <v>200</v>
      </c>
      <c r="H35" s="17" t="s">
        <v>197</v>
      </c>
      <c r="I35" s="17" t="s">
        <v>194</v>
      </c>
      <c r="J35" s="17" t="s">
        <v>195</v>
      </c>
      <c r="K35" s="17" t="s">
        <v>196</v>
      </c>
      <c r="L35" s="17" t="s">
        <v>193</v>
      </c>
      <c r="M35" s="17" t="s">
        <v>190</v>
      </c>
      <c r="N35" s="17" t="s">
        <v>191</v>
      </c>
      <c r="O35" s="17" t="s">
        <v>192</v>
      </c>
      <c r="P35" s="17" t="s">
        <v>189</v>
      </c>
      <c r="Q35" s="101" t="s">
        <v>251</v>
      </c>
      <c r="R35" s="99" t="s">
        <v>252</v>
      </c>
    </row>
    <row r="36" spans="1:18" x14ac:dyDescent="0.25">
      <c r="C36" s="16" t="s">
        <v>6</v>
      </c>
      <c r="D36" s="17"/>
      <c r="E36" s="17" t="s">
        <v>32</v>
      </c>
      <c r="F36" s="17"/>
      <c r="G36" s="17" t="s">
        <v>28</v>
      </c>
      <c r="H36" s="17" t="s">
        <v>25</v>
      </c>
      <c r="I36" s="17" t="s">
        <v>22</v>
      </c>
      <c r="J36" s="17"/>
      <c r="K36" s="42" t="s">
        <v>18</v>
      </c>
      <c r="L36" s="17"/>
      <c r="M36" s="17" t="s">
        <v>14</v>
      </c>
      <c r="N36" s="17"/>
      <c r="O36" s="17" t="s">
        <v>10</v>
      </c>
      <c r="P36" s="17"/>
    </row>
    <row r="37" spans="1:18" x14ac:dyDescent="0.25">
      <c r="C37" s="16" t="s">
        <v>202</v>
      </c>
      <c r="D37" s="17" t="s">
        <v>40</v>
      </c>
      <c r="E37" s="17" t="s">
        <v>41</v>
      </c>
      <c r="F37" s="17" t="s">
        <v>40</v>
      </c>
      <c r="G37" s="17" t="s">
        <v>42</v>
      </c>
      <c r="H37" s="17" t="s">
        <v>40</v>
      </c>
      <c r="I37" s="17" t="s">
        <v>41</v>
      </c>
      <c r="J37" s="17" t="s">
        <v>40</v>
      </c>
      <c r="K37" s="17" t="s">
        <v>42</v>
      </c>
      <c r="L37" s="17" t="s">
        <v>40</v>
      </c>
      <c r="M37" s="17" t="s">
        <v>41</v>
      </c>
      <c r="N37" s="17" t="s">
        <v>40</v>
      </c>
      <c r="O37" s="17" t="s">
        <v>42</v>
      </c>
      <c r="P37" s="17" t="s">
        <v>40</v>
      </c>
      <c r="Q37" s="17" t="s">
        <v>41</v>
      </c>
      <c r="R37" s="17" t="s">
        <v>40</v>
      </c>
    </row>
    <row r="38" spans="1:18" x14ac:dyDescent="0.25"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5">
      <c r="B39" s="38">
        <f t="shared" ref="B39:B62" si="1">SUM(D39:P39)</f>
        <v>1696.8456571412876</v>
      </c>
      <c r="C39" s="20">
        <v>0</v>
      </c>
      <c r="D39" s="21">
        <f>('FREEVAL INPUT 2020 Hourly'!D39)*(1+$B$4)^($B$1-'FREEVAL INPUT 2020 Hourly'!$B$1)</f>
        <v>186.09144455345722</v>
      </c>
      <c r="E39" s="21">
        <f>('FREEVAL INPUT 2020 Hourly'!E39)*(1+$B$4)^($B$1-'FREEVAL INPUT 2020 Hourly'!$B$1)</f>
        <v>9.910195272077603</v>
      </c>
      <c r="F39" s="21">
        <f>('FREEVAL INPUT 2020 Hourly'!F39)*(1+$B$4)^($B$1-'FREEVAL INPUT 2020 Hourly'!$B$1)</f>
        <v>176.18124928137959</v>
      </c>
      <c r="G39" s="21">
        <f>('FREEVAL INPUT 2020 Hourly'!G39)*(1+$B$4)^($B$1-'FREEVAL INPUT 2020 Hourly'!$B$1)</f>
        <v>3.3033984240258678</v>
      </c>
      <c r="H39" s="21">
        <f>('FREEVAL INPUT 2020 Hourly'!H39)*(1+$B$4)^($B$1-'FREEVAL INPUT 2020 Hourly'!$B$1)</f>
        <v>179.48464770540548</v>
      </c>
      <c r="I39" s="21">
        <f>('FREEVAL INPUT 2020 Hourly'!I39)*(1+$B$4)^($B$1-'FREEVAL INPUT 2020 Hourly'!$B$1)</f>
        <v>25.326054584198321</v>
      </c>
      <c r="J39" s="21">
        <f>('FREEVAL INPUT 2020 Hourly'!J39)*(1+$B$4)^($B$1-'FREEVAL INPUT 2020 Hourly'!$B$1)</f>
        <v>154.15859312120716</v>
      </c>
      <c r="K39" s="21">
        <f>('FREEVAL INPUT 2020 Hourly'!K39)*(1+$B$4)^($B$1-'FREEVAL INPUT 2020 Hourly'!$B$1)</f>
        <v>100.20308552878465</v>
      </c>
      <c r="L39" s="21">
        <f>('FREEVAL INPUT 2020 Hourly'!L39)*(1+$B$4)^($B$1-'FREEVAL INPUT 2020 Hourly'!$B$1)</f>
        <v>254.3616786499918</v>
      </c>
      <c r="M39" s="21">
        <f>('FREEVAL INPUT 2020 Hourly'!M39)*(1+$B$4)^($B$1-'FREEVAL INPUT 2020 Hourly'!$B$1)</f>
        <v>19.820390544155206</v>
      </c>
      <c r="N39" s="21">
        <f>('FREEVAL INPUT 2020 Hourly'!N39)*(1+$B$4)^($B$1-'FREEVAL INPUT 2020 Hourly'!$B$1)</f>
        <v>234.54128810583663</v>
      </c>
      <c r="O39" s="21">
        <f>('FREEVAL INPUT 2020 Hourly'!O39)*(1+$B$4)^($B$1-'FREEVAL INPUT 2020 Hourly'!$B$1)</f>
        <v>59.461171632465621</v>
      </c>
      <c r="P39" s="21">
        <f>('FREEVAL INPUT 2020 Hourly'!P39)*(1+$B$4)^($B$1-'FREEVAL INPUT 2020 Hourly'!$B$1)</f>
        <v>294.00245973830221</v>
      </c>
      <c r="Q39" s="113">
        <f>('FREEVAL INPUT 2020 Hourly'!Q39)*(1+$B$4)^($B$1-'FREEVAL INPUT 2020 Hourly'!$B$1)</f>
        <v>18.719257736146584</v>
      </c>
      <c r="R39" s="21">
        <f>('FREEVAL INPUT 2020 Hourly'!R39)*(1+$B$4)^($B$1-'FREEVAL INPUT 2020 Hourly'!$B$1)</f>
        <v>275.28320200215569</v>
      </c>
    </row>
    <row r="40" spans="1:18" x14ac:dyDescent="0.25">
      <c r="B40" s="38">
        <f t="shared" si="1"/>
        <v>1070.3010893843812</v>
      </c>
      <c r="C40" s="20">
        <v>4.1666666666666664E-2</v>
      </c>
      <c r="D40" s="21">
        <f>('FREEVAL INPUT 2020 Hourly'!D40)*(1+$B$4)^($B$1-'FREEVAL INPUT 2020 Hourly'!$B$1)</f>
        <v>111.21441360887088</v>
      </c>
      <c r="E40" s="21">
        <f>('FREEVAL INPUT 2020 Hourly'!E40)*(1+$B$4)^($B$1-'FREEVAL INPUT 2020 Hourly'!$B$1)</f>
        <v>9.910195272077603</v>
      </c>
      <c r="F40" s="21">
        <f>('FREEVAL INPUT 2020 Hourly'!F40)*(1+$B$4)^($B$1-'FREEVAL INPUT 2020 Hourly'!$B$1)</f>
        <v>101.30421833679328</v>
      </c>
      <c r="G40" s="21">
        <f>('FREEVAL INPUT 2020 Hourly'!G40)*(1+$B$4)^($B$1-'FREEVAL INPUT 2020 Hourly'!$B$1)</f>
        <v>6.6067968480517356</v>
      </c>
      <c r="H40" s="21">
        <f>('FREEVAL INPUT 2020 Hourly'!H40)*(1+$B$4)^($B$1-'FREEVAL INPUT 2020 Hourly'!$B$1)</f>
        <v>107.91101518484501</v>
      </c>
      <c r="I40" s="21">
        <f>('FREEVAL INPUT 2020 Hourly'!I40)*(1+$B$4)^($B$1-'FREEVAL INPUT 2020 Hourly'!$B$1)</f>
        <v>13.213593696103471</v>
      </c>
      <c r="J40" s="21">
        <f>('FREEVAL INPUT 2020 Hourly'!J40)*(1+$B$4)^($B$1-'FREEVAL INPUT 2020 Hourly'!$B$1)</f>
        <v>94.69742148874154</v>
      </c>
      <c r="K40" s="21">
        <f>('FREEVAL INPUT 2020 Hourly'!K40)*(1+$B$4)^($B$1-'FREEVAL INPUT 2020 Hourly'!$B$1)</f>
        <v>62.764570056491486</v>
      </c>
      <c r="L40" s="21">
        <f>('FREEVAL INPUT 2020 Hourly'!L40)*(1+$B$4)^($B$1-'FREEVAL INPUT 2020 Hourly'!$B$1)</f>
        <v>157.46199154523302</v>
      </c>
      <c r="M40" s="21">
        <f>('FREEVAL INPUT 2020 Hourly'!M40)*(1+$B$4)^($B$1-'FREEVAL INPUT 2020 Hourly'!$B$1)</f>
        <v>11.011328080086225</v>
      </c>
      <c r="N40" s="21">
        <f>('FREEVAL INPUT 2020 Hourly'!N40)*(1+$B$4)^($B$1-'FREEVAL INPUT 2020 Hourly'!$B$1)</f>
        <v>146.45066346514679</v>
      </c>
      <c r="O40" s="21">
        <f>('FREEVAL INPUT 2020 Hourly'!O40)*(1+$B$4)^($B$1-'FREEVAL INPUT 2020 Hourly'!$B$1)</f>
        <v>50.652109168396642</v>
      </c>
      <c r="P40" s="21">
        <f>('FREEVAL INPUT 2020 Hourly'!P40)*(1+$B$4)^($B$1-'FREEVAL INPUT 2020 Hourly'!$B$1)</f>
        <v>197.10277263354345</v>
      </c>
      <c r="Q40" s="113">
        <f>('FREEVAL INPUT 2020 Hourly'!Q40)*(1+$B$4)^($B$1-'FREEVAL INPUT 2020 Hourly'!$B$1)</f>
        <v>14.314726504112095</v>
      </c>
      <c r="R40" s="21">
        <f>('FREEVAL INPUT 2020 Hourly'!R40)*(1+$B$4)^($B$1-'FREEVAL INPUT 2020 Hourly'!$B$1)</f>
        <v>182.78804612943134</v>
      </c>
    </row>
    <row r="41" spans="1:18" x14ac:dyDescent="0.25">
      <c r="B41" s="38">
        <f t="shared" si="1"/>
        <v>1199.1336279213899</v>
      </c>
      <c r="C41" s="20">
        <v>8.3333333333333301E-2</v>
      </c>
      <c r="D41" s="21">
        <f>('FREEVAL INPUT 2020 Hourly'!D41)*(1+$B$4)^($B$1-'FREEVAL INPUT 2020 Hourly'!$B$1)</f>
        <v>133.23706976904333</v>
      </c>
      <c r="E41" s="21">
        <f>('FREEVAL INPUT 2020 Hourly'!E41)*(1+$B$4)^($B$1-'FREEVAL INPUT 2020 Hourly'!$B$1)</f>
        <v>5.5056640400431123</v>
      </c>
      <c r="F41" s="21">
        <f>('FREEVAL INPUT 2020 Hourly'!F41)*(1+$B$4)^($B$1-'FREEVAL INPUT 2020 Hourly'!$B$1)</f>
        <v>127.73140572900022</v>
      </c>
      <c r="G41" s="21">
        <f>('FREEVAL INPUT 2020 Hourly'!G41)*(1+$B$4)^($B$1-'FREEVAL INPUT 2020 Hourly'!$B$1)</f>
        <v>8.8090624640689814</v>
      </c>
      <c r="H41" s="21">
        <f>('FREEVAL INPUT 2020 Hourly'!H41)*(1+$B$4)^($B$1-'FREEVAL INPUT 2020 Hourly'!$B$1)</f>
        <v>136.54046819306922</v>
      </c>
      <c r="I41" s="21">
        <f>('FREEVAL INPUT 2020 Hourly'!I41)*(1+$B$4)^($B$1-'FREEVAL INPUT 2020 Hourly'!$B$1)</f>
        <v>12.112460888094848</v>
      </c>
      <c r="J41" s="21">
        <f>('FREEVAL INPUT 2020 Hourly'!J41)*(1+$B$4)^($B$1-'FREEVAL INPUT 2020 Hourly'!$B$1)</f>
        <v>124.42800730497434</v>
      </c>
      <c r="K41" s="21">
        <f>('FREEVAL INPUT 2020 Hourly'!K41)*(1+$B$4)^($B$1-'FREEVAL INPUT 2020 Hourly'!$B$1)</f>
        <v>49.55097636038802</v>
      </c>
      <c r="L41" s="21">
        <f>('FREEVAL INPUT 2020 Hourly'!L41)*(1+$B$4)^($B$1-'FREEVAL INPUT 2020 Hourly'!$B$1)</f>
        <v>173.97898366536239</v>
      </c>
      <c r="M41" s="21">
        <f>('FREEVAL INPUT 2020 Hourly'!M41)*(1+$B$4)^($B$1-'FREEVAL INPUT 2020 Hourly'!$B$1)</f>
        <v>11.011328080086225</v>
      </c>
      <c r="N41" s="21">
        <f>('FREEVAL INPUT 2020 Hourly'!N41)*(1+$B$4)^($B$1-'FREEVAL INPUT 2020 Hourly'!$B$1)</f>
        <v>162.96765558527613</v>
      </c>
      <c r="O41" s="21">
        <f>('FREEVAL INPUT 2020 Hourly'!O41)*(1+$B$4)^($B$1-'FREEVAL INPUT 2020 Hourly'!$B$1)</f>
        <v>45.146445128353527</v>
      </c>
      <c r="P41" s="21">
        <f>('FREEVAL INPUT 2020 Hourly'!P41)*(1+$B$4)^($B$1-'FREEVAL INPUT 2020 Hourly'!$B$1)</f>
        <v>208.11410071362965</v>
      </c>
      <c r="Q41" s="113">
        <f>('FREEVAL INPUT 2020 Hourly'!Q41)*(1+$B$4)^($B$1-'FREEVAL INPUT 2020 Hourly'!$B$1)</f>
        <v>13.213593696103471</v>
      </c>
      <c r="R41" s="21">
        <f>('FREEVAL INPUT 2020 Hourly'!R41)*(1+$B$4)^($B$1-'FREEVAL INPUT 2020 Hourly'!$B$1)</f>
        <v>194.90050701752619</v>
      </c>
    </row>
    <row r="42" spans="1:18" x14ac:dyDescent="0.25">
      <c r="B42" s="38">
        <f t="shared" si="1"/>
        <v>1597.7437044205112</v>
      </c>
      <c r="C42" s="20">
        <v>0.125</v>
      </c>
      <c r="D42" s="21">
        <f>('FREEVAL INPUT 2020 Hourly'!D42)*(1+$B$4)^($B$1-'FREEVAL INPUT 2020 Hourly'!$B$1)</f>
        <v>176.18124928137959</v>
      </c>
      <c r="E42" s="21">
        <f>('FREEVAL INPUT 2020 Hourly'!E42)*(1+$B$4)^($B$1-'FREEVAL INPUT 2020 Hourly'!$B$1)</f>
        <v>9.910195272077603</v>
      </c>
      <c r="F42" s="21">
        <f>('FREEVAL INPUT 2020 Hourly'!F42)*(1+$B$4)^($B$1-'FREEVAL INPUT 2020 Hourly'!$B$1)</f>
        <v>166.27105400930202</v>
      </c>
      <c r="G42" s="21">
        <f>('FREEVAL INPUT 2020 Hourly'!G42)*(1+$B$4)^($B$1-'FREEVAL INPUT 2020 Hourly'!$B$1)</f>
        <v>11.011328080086225</v>
      </c>
      <c r="H42" s="21">
        <f>('FREEVAL INPUT 2020 Hourly'!H42)*(1+$B$4)^($B$1-'FREEVAL INPUT 2020 Hourly'!$B$1)</f>
        <v>177.28238208938822</v>
      </c>
      <c r="I42" s="21">
        <f>('FREEVAL INPUT 2020 Hourly'!I42)*(1+$B$4)^($B$1-'FREEVAL INPUT 2020 Hourly'!$B$1)</f>
        <v>15.415859312120716</v>
      </c>
      <c r="J42" s="21">
        <f>('FREEVAL INPUT 2020 Hourly'!J42)*(1+$B$4)^($B$1-'FREEVAL INPUT 2020 Hourly'!$B$1)</f>
        <v>161.86652277726753</v>
      </c>
      <c r="K42" s="21">
        <f>('FREEVAL INPUT 2020 Hourly'!K42)*(1+$B$4)^($B$1-'FREEVAL INPUT 2020 Hourly'!$B$1)</f>
        <v>75.978163752594952</v>
      </c>
      <c r="L42" s="21">
        <f>('FREEVAL INPUT 2020 Hourly'!L42)*(1+$B$4)^($B$1-'FREEVAL INPUT 2020 Hourly'!$B$1)</f>
        <v>237.84468652986249</v>
      </c>
      <c r="M42" s="21">
        <f>('FREEVAL INPUT 2020 Hourly'!M42)*(1+$B$4)^($B$1-'FREEVAL INPUT 2020 Hourly'!$B$1)</f>
        <v>44.045312320344898</v>
      </c>
      <c r="N42" s="21">
        <f>('FREEVAL INPUT 2020 Hourly'!N42)*(1+$B$4)^($B$1-'FREEVAL INPUT 2020 Hourly'!$B$1)</f>
        <v>193.79937420951757</v>
      </c>
      <c r="O42" s="21">
        <f>('FREEVAL INPUT 2020 Hourly'!O42)*(1+$B$4)^($B$1-'FREEVAL INPUT 2020 Hourly'!$B$1)</f>
        <v>67.169101288525979</v>
      </c>
      <c r="P42" s="21">
        <f>('FREEVAL INPUT 2020 Hourly'!P42)*(1+$B$4)^($B$1-'FREEVAL INPUT 2020 Hourly'!$B$1)</f>
        <v>260.96847549804352</v>
      </c>
      <c r="Q42" s="113">
        <f>('FREEVAL INPUT 2020 Hourly'!Q42)*(1+$B$4)^($B$1-'FREEVAL INPUT 2020 Hourly'!$B$1)</f>
        <v>15.415859312120716</v>
      </c>
      <c r="R42" s="21">
        <f>('FREEVAL INPUT 2020 Hourly'!R42)*(1+$B$4)^($B$1-'FREEVAL INPUT 2020 Hourly'!$B$1)</f>
        <v>245.55261618592283</v>
      </c>
    </row>
    <row r="43" spans="1:18" x14ac:dyDescent="0.25">
      <c r="B43" s="38">
        <f t="shared" si="1"/>
        <v>3960.7747104070154</v>
      </c>
      <c r="C43" s="20">
        <v>0.16666666666666699</v>
      </c>
      <c r="D43" s="21">
        <f>('FREEVAL INPUT 2020 Hourly'!D43)*(1+$B$4)^($B$1-'FREEVAL INPUT 2020 Hourly'!$B$1)</f>
        <v>416.22820142725931</v>
      </c>
      <c r="E43" s="21">
        <f>('FREEVAL INPUT 2020 Hourly'!E43)*(1+$B$4)^($B$1-'FREEVAL INPUT 2020 Hourly'!$B$1)</f>
        <v>6.6067968480517356</v>
      </c>
      <c r="F43" s="21">
        <f>('FREEVAL INPUT 2020 Hourly'!F43)*(1+$B$4)^($B$1-'FREEVAL INPUT 2020 Hourly'!$B$1)</f>
        <v>409.62140457920765</v>
      </c>
      <c r="G43" s="21">
        <f>('FREEVAL INPUT 2020 Hourly'!G43)*(1+$B$4)^($B$1-'FREEVAL INPUT 2020 Hourly'!$B$1)</f>
        <v>20.921523352163831</v>
      </c>
      <c r="H43" s="21">
        <f>('FREEVAL INPUT 2020 Hourly'!H43)*(1+$B$4)^($B$1-'FREEVAL INPUT 2020 Hourly'!$B$1)</f>
        <v>430.54292793137142</v>
      </c>
      <c r="I43" s="21">
        <f>('FREEVAL INPUT 2020 Hourly'!I43)*(1+$B$4)^($B$1-'FREEVAL INPUT 2020 Hourly'!$B$1)</f>
        <v>41.843046704327662</v>
      </c>
      <c r="J43" s="21">
        <f>('FREEVAL INPUT 2020 Hourly'!J43)*(1+$B$4)^($B$1-'FREEVAL INPUT 2020 Hourly'!$B$1)</f>
        <v>388.69988122704376</v>
      </c>
      <c r="K43" s="21">
        <f>('FREEVAL INPUT 2020 Hourly'!K43)*(1+$B$4)^($B$1-'FREEVAL INPUT 2020 Hourly'!$B$1)</f>
        <v>194.90050701752619</v>
      </c>
      <c r="L43" s="21">
        <f>('FREEVAL INPUT 2020 Hourly'!L43)*(1+$B$4)^($B$1-'FREEVAL INPUT 2020 Hourly'!$B$1)</f>
        <v>583.6003882445699</v>
      </c>
      <c r="M43" s="21">
        <f>('FREEVAL INPUT 2020 Hourly'!M43)*(1+$B$4)^($B$1-'FREEVAL INPUT 2020 Hourly'!$B$1)</f>
        <v>34.135117048267304</v>
      </c>
      <c r="N43" s="21">
        <f>('FREEVAL INPUT 2020 Hourly'!N43)*(1+$B$4)^($B$1-'FREEVAL INPUT 2020 Hourly'!$B$1)</f>
        <v>549.46527119630275</v>
      </c>
      <c r="O43" s="21">
        <f>('FREEVAL INPUT 2020 Hourly'!O43)*(1+$B$4)^($B$1-'FREEVAL INPUT 2020 Hourly'!$B$1)</f>
        <v>167.37218681731065</v>
      </c>
      <c r="P43" s="21">
        <f>('FREEVAL INPUT 2020 Hourly'!P43)*(1+$B$4)^($B$1-'FREEVAL INPUT 2020 Hourly'!$B$1)</f>
        <v>716.83745801361329</v>
      </c>
      <c r="Q43" s="113">
        <f>('FREEVAL INPUT 2020 Hourly'!Q43)*(1+$B$4)^($B$1-'FREEVAL INPUT 2020 Hourly'!$B$1)</f>
        <v>22.022656160172449</v>
      </c>
      <c r="R43" s="21">
        <f>('FREEVAL INPUT 2020 Hourly'!R43)*(1+$B$4)^($B$1-'FREEVAL INPUT 2020 Hourly'!$B$1)</f>
        <v>694.81480185344094</v>
      </c>
    </row>
    <row r="44" spans="1:18" x14ac:dyDescent="0.25">
      <c r="B44" s="38">
        <f t="shared" si="1"/>
        <v>12666.330690523186</v>
      </c>
      <c r="C44" s="20">
        <v>0.20833333333333301</v>
      </c>
      <c r="D44" s="21">
        <f>('FREEVAL INPUT 2020 Hourly'!D44)*(1+$B$4)^($B$1-'FREEVAL INPUT 2020 Hourly'!$B$1)</f>
        <v>1285.0219869460625</v>
      </c>
      <c r="E44" s="21">
        <f>('FREEVAL INPUT 2020 Hourly'!E44)*(1+$B$4)^($B$1-'FREEVAL INPUT 2020 Hourly'!$B$1)</f>
        <v>19.820390544155206</v>
      </c>
      <c r="F44" s="21">
        <f>('FREEVAL INPUT 2020 Hourly'!F44)*(1+$B$4)^($B$1-'FREEVAL INPUT 2020 Hourly'!$B$1)</f>
        <v>1265.2015964019074</v>
      </c>
      <c r="G44" s="21">
        <f>('FREEVAL INPUT 2020 Hourly'!G44)*(1+$B$4)^($B$1-'FREEVAL INPUT 2020 Hourly'!$B$1)</f>
        <v>95.798554296750169</v>
      </c>
      <c r="H44" s="21">
        <f>('FREEVAL INPUT 2020 Hourly'!H44)*(1+$B$4)^($B$1-'FREEVAL INPUT 2020 Hourly'!$B$1)</f>
        <v>1361.0001506986575</v>
      </c>
      <c r="I44" s="21">
        <f>('FREEVAL INPUT 2020 Hourly'!I44)*(1+$B$4)^($B$1-'FREEVAL INPUT 2020 Hourly'!$B$1)</f>
        <v>99.10195272077604</v>
      </c>
      <c r="J44" s="21">
        <f>('FREEVAL INPUT 2020 Hourly'!J44)*(1+$B$4)^($B$1-'FREEVAL INPUT 2020 Hourly'!$B$1)</f>
        <v>1261.8981979778814</v>
      </c>
      <c r="K44" s="21">
        <f>('FREEVAL INPUT 2020 Hourly'!K44)*(1+$B$4)^($B$1-'FREEVAL INPUT 2020 Hourly'!$B$1)</f>
        <v>640.85929426101836</v>
      </c>
      <c r="L44" s="21">
        <f>('FREEVAL INPUT 2020 Hourly'!L44)*(1+$B$4)^($B$1-'FREEVAL INPUT 2020 Hourly'!$B$1)</f>
        <v>1902.7574922388999</v>
      </c>
      <c r="M44" s="21">
        <f>('FREEVAL INPUT 2020 Hourly'!M44)*(1+$B$4)^($B$1-'FREEVAL INPUT 2020 Hourly'!$B$1)</f>
        <v>72.67476532856908</v>
      </c>
      <c r="N44" s="21">
        <f>('FREEVAL INPUT 2020 Hourly'!N44)*(1+$B$4)^($B$1-'FREEVAL INPUT 2020 Hourly'!$B$1)</f>
        <v>1830.0827269103308</v>
      </c>
      <c r="O44" s="21">
        <f>('FREEVAL INPUT 2020 Hourly'!O44)*(1+$B$4)^($B$1-'FREEVAL INPUT 2020 Hourly'!$B$1)</f>
        <v>501.01542764392326</v>
      </c>
      <c r="P44" s="21">
        <f>('FREEVAL INPUT 2020 Hourly'!P44)*(1+$B$4)^($B$1-'FREEVAL INPUT 2020 Hourly'!$B$1)</f>
        <v>2331.0981545542541</v>
      </c>
      <c r="Q44" s="113">
        <f>('FREEVAL INPUT 2020 Hourly'!Q44)*(1+$B$4)^($B$1-'FREEVAL INPUT 2020 Hourly'!$B$1)</f>
        <v>42.944179512336284</v>
      </c>
      <c r="R44" s="21">
        <f>('FREEVAL INPUT 2020 Hourly'!R44)*(1+$B$4)^($B$1-'FREEVAL INPUT 2020 Hourly'!$B$1)</f>
        <v>2288.1539750419179</v>
      </c>
    </row>
    <row r="45" spans="1:18" s="52" customFormat="1" x14ac:dyDescent="0.25">
      <c r="B45" s="38">
        <f t="shared" si="1"/>
        <v>24377.979236502899</v>
      </c>
      <c r="C45" s="50">
        <v>0.25</v>
      </c>
      <c r="D45" s="21">
        <f>('FREEVAL INPUT 2020 Hourly'!D45)*(1+$B$4)^($B$1-'FREEVAL INPUT 2020 Hourly'!$B$1)</f>
        <v>2336.6038185942971</v>
      </c>
      <c r="E45" s="21">
        <f>('FREEVAL INPUT 2020 Hourly'!E45)*(1+$B$4)^($B$1-'FREEVAL INPUT 2020 Hourly'!$B$1)</f>
        <v>78.180429368612195</v>
      </c>
      <c r="F45" s="21">
        <f>('FREEVAL INPUT 2020 Hourly'!F45)*(1+$B$4)^($B$1-'FREEVAL INPUT 2020 Hourly'!$B$1)</f>
        <v>2258.4233892256848</v>
      </c>
      <c r="G45" s="21">
        <f>('FREEVAL INPUT 2020 Hourly'!G45)*(1+$B$4)^($B$1-'FREEVAL INPUT 2020 Hourly'!$B$1)</f>
        <v>290.69906131427632</v>
      </c>
      <c r="H45" s="21">
        <f>('FREEVAL INPUT 2020 Hourly'!H45)*(1+$B$4)^($B$1-'FREEVAL INPUT 2020 Hourly'!$B$1)</f>
        <v>2549.1224505399614</v>
      </c>
      <c r="I45" s="21">
        <f>('FREEVAL INPUT 2020 Hourly'!I45)*(1+$B$4)^($B$1-'FREEVAL INPUT 2020 Hourly'!$B$1)</f>
        <v>222.42882721774177</v>
      </c>
      <c r="J45" s="21">
        <f>('FREEVAL INPUT 2020 Hourly'!J45)*(1+$B$4)^($B$1-'FREEVAL INPUT 2020 Hourly'!$B$1)</f>
        <v>2326.6936233222195</v>
      </c>
      <c r="K45" s="21">
        <f>('FREEVAL INPUT 2020 Hourly'!K45)*(1+$B$4)^($B$1-'FREEVAL INPUT 2020 Hourly'!$B$1)</f>
        <v>1324.6627680343729</v>
      </c>
      <c r="L45" s="21">
        <f>('FREEVAL INPUT 2020 Hourly'!L45)*(1+$B$4)^($B$1-'FREEVAL INPUT 2020 Hourly'!$B$1)</f>
        <v>3651.3563913565927</v>
      </c>
      <c r="M45" s="21">
        <f>('FREEVAL INPUT 2020 Hourly'!M45)*(1+$B$4)^($B$1-'FREEVAL INPUT 2020 Hourly'!$B$1)</f>
        <v>134.33820257705196</v>
      </c>
      <c r="N45" s="21">
        <f>('FREEVAL INPUT 2020 Hourly'!N45)*(1+$B$4)^($B$1-'FREEVAL INPUT 2020 Hourly'!$B$1)</f>
        <v>3517.0181887795407</v>
      </c>
      <c r="O45" s="21">
        <f>('FREEVAL INPUT 2020 Hourly'!O45)*(1+$B$4)^($B$1-'FREEVAL INPUT 2020 Hourly'!$B$1)</f>
        <v>1085.716948696502</v>
      </c>
      <c r="P45" s="21">
        <f>('FREEVAL INPUT 2020 Hourly'!P45)*(1+$B$4)^($B$1-'FREEVAL INPUT 2020 Hourly'!$B$1)</f>
        <v>4602.7351374760428</v>
      </c>
      <c r="Q45" s="113">
        <f>('FREEVAL INPUT 2020 Hourly'!Q45)*(1+$B$4)^($B$1-'FREEVAL INPUT 2020 Hourly'!$B$1)</f>
        <v>71.57363252056048</v>
      </c>
      <c r="R45" s="21">
        <f>('FREEVAL INPUT 2020 Hourly'!R45)*(1+$B$4)^($B$1-'FREEVAL INPUT 2020 Hourly'!$B$1)</f>
        <v>4531.1615049554821</v>
      </c>
    </row>
    <row r="46" spans="1:18" s="51" customFormat="1" x14ac:dyDescent="0.25">
      <c r="A46" s="102" t="s">
        <v>242</v>
      </c>
      <c r="B46" s="39">
        <f t="shared" si="1"/>
        <v>23629</v>
      </c>
      <c r="C46" s="40">
        <v>0.29166666666666702</v>
      </c>
      <c r="D46" s="44">
        <v>2231</v>
      </c>
      <c r="E46" s="44">
        <v>208</v>
      </c>
      <c r="F46" s="44">
        <f>D46-E46</f>
        <v>2023</v>
      </c>
      <c r="G46" s="44">
        <v>374</v>
      </c>
      <c r="H46" s="44">
        <f>F46+G46</f>
        <v>2397</v>
      </c>
      <c r="I46" s="44">
        <v>390</v>
      </c>
      <c r="J46" s="44">
        <f>H46-I46</f>
        <v>2007</v>
      </c>
      <c r="K46" s="44">
        <v>1446</v>
      </c>
      <c r="L46" s="44">
        <f>J46+K46</f>
        <v>3453</v>
      </c>
      <c r="M46" s="44">
        <v>376</v>
      </c>
      <c r="N46" s="44">
        <f>L46-M46</f>
        <v>3077</v>
      </c>
      <c r="O46" s="44">
        <v>1285</v>
      </c>
      <c r="P46" s="44">
        <f>N46+O46</f>
        <v>4362</v>
      </c>
      <c r="Q46" s="44">
        <v>80</v>
      </c>
      <c r="R46" s="44">
        <f>P46-Q46</f>
        <v>4282</v>
      </c>
    </row>
    <row r="47" spans="1:18" x14ac:dyDescent="0.25">
      <c r="B47" s="38">
        <f t="shared" si="1"/>
        <v>18536.469690017155</v>
      </c>
      <c r="C47" s="20">
        <v>0.33333333333333298</v>
      </c>
      <c r="D47" s="21">
        <f>('FREEVAL INPUT 2020 Hourly'!D47)*(1+$B$4)^($B$1-'FREEVAL INPUT 2020 Hourly'!$B$1)</f>
        <v>1729.8796413815462</v>
      </c>
      <c r="E47" s="21">
        <f>('FREEVAL INPUT 2020 Hourly'!E47)*(1+$B$4)^($B$1-'FREEVAL INPUT 2020 Hourly'!$B$1)</f>
        <v>129.93367134501747</v>
      </c>
      <c r="F47" s="21">
        <f>('FREEVAL INPUT 2020 Hourly'!F47)*(1+$B$4)^($B$1-'FREEVAL INPUT 2020 Hourly'!$B$1)</f>
        <v>1599.9459700365285</v>
      </c>
      <c r="G47" s="21">
        <f>('FREEVAL INPUT 2020 Hourly'!G47)*(1+$B$4)^($B$1-'FREEVAL INPUT 2020 Hourly'!$B$1)</f>
        <v>231.23788968181074</v>
      </c>
      <c r="H47" s="21">
        <f>('FREEVAL INPUT 2020 Hourly'!H47)*(1+$B$4)^($B$1-'FREEVAL INPUT 2020 Hourly'!$B$1)</f>
        <v>1831.1838597183394</v>
      </c>
      <c r="I47" s="21">
        <f>('FREEVAL INPUT 2020 Hourly'!I47)*(1+$B$4)^($B$1-'FREEVAL INPUT 2020 Hourly'!$B$1)</f>
        <v>279.68773323419015</v>
      </c>
      <c r="J47" s="21">
        <f>('FREEVAL INPUT 2020 Hourly'!J47)*(1+$B$4)^($B$1-'FREEVAL INPUT 2020 Hourly'!$B$1)</f>
        <v>1551.496126484149</v>
      </c>
      <c r="K47" s="21">
        <f>('FREEVAL INPUT 2020 Hourly'!K47)*(1+$B$4)^($B$1-'FREEVAL INPUT 2020 Hourly'!$B$1)</f>
        <v>1195.8302294973641</v>
      </c>
      <c r="L47" s="21">
        <f>('FREEVAL INPUT 2020 Hourly'!L47)*(1+$B$4)^($B$1-'FREEVAL INPUT 2020 Hourly'!$B$1)</f>
        <v>2747.3263559815132</v>
      </c>
      <c r="M47" s="21">
        <f>('FREEVAL INPUT 2020 Hourly'!M47)*(1+$B$4)^($B$1-'FREEVAL INPUT 2020 Hourly'!$B$1)</f>
        <v>168.47331962531928</v>
      </c>
      <c r="N47" s="21">
        <f>('FREEVAL INPUT 2020 Hourly'!N47)*(1+$B$4)^($B$1-'FREEVAL INPUT 2020 Hourly'!$B$1)</f>
        <v>2578.853036356194</v>
      </c>
      <c r="O47" s="21">
        <f>('FREEVAL INPUT 2020 Hourly'!O47)*(1+$B$4)^($B$1-'FREEVAL INPUT 2020 Hourly'!$B$1)</f>
        <v>956.88441015949297</v>
      </c>
      <c r="P47" s="21">
        <f>('FREEVAL INPUT 2020 Hourly'!P47)*(1+$B$4)^($B$1-'FREEVAL INPUT 2020 Hourly'!$B$1)</f>
        <v>3535.7374465156868</v>
      </c>
      <c r="Q47" s="113">
        <f>('FREEVAL INPUT 2020 Hourly'!Q47)*(1+$B$4)^($B$1-'FREEVAL INPUT 2020 Hourly'!$B$1)</f>
        <v>83.686093408655324</v>
      </c>
      <c r="R47" s="21">
        <f>('FREEVAL INPUT 2020 Hourly'!R47)*(1+$B$4)^($B$1-'FREEVAL INPUT 2020 Hourly'!$B$1)</f>
        <v>3452.0513531070314</v>
      </c>
    </row>
    <row r="48" spans="1:18" x14ac:dyDescent="0.25">
      <c r="B48" s="38">
        <f t="shared" si="1"/>
        <v>14215.624551391318</v>
      </c>
      <c r="C48" s="20">
        <v>0.375</v>
      </c>
      <c r="D48" s="21">
        <f>('FREEVAL INPUT 2020 Hourly'!D48)*(1+$B$4)^($B$1-'FREEVAL INPUT 2020 Hourly'!$B$1)</f>
        <v>1427.0681191791748</v>
      </c>
      <c r="E48" s="21">
        <f>('FREEVAL INPUT 2020 Hourly'!E48)*(1+$B$4)^($B$1-'FREEVAL INPUT 2020 Hourly'!$B$1)</f>
        <v>96.899687104758783</v>
      </c>
      <c r="F48" s="21">
        <f>('FREEVAL INPUT 2020 Hourly'!F48)*(1+$B$4)^($B$1-'FREEVAL INPUT 2020 Hourly'!$B$1)</f>
        <v>1330.1684320744162</v>
      </c>
      <c r="G48" s="21">
        <f>('FREEVAL INPUT 2020 Hourly'!G48)*(1+$B$4)^($B$1-'FREEVAL INPUT 2020 Hourly'!$B$1)</f>
        <v>114.51781203289676</v>
      </c>
      <c r="H48" s="21">
        <f>('FREEVAL INPUT 2020 Hourly'!H48)*(1+$B$4)^($B$1-'FREEVAL INPUT 2020 Hourly'!$B$1)</f>
        <v>1444.6862441073129</v>
      </c>
      <c r="I48" s="21">
        <f>('FREEVAL INPUT 2020 Hourly'!I48)*(1+$B$4)^($B$1-'FREEVAL INPUT 2020 Hourly'!$B$1)</f>
        <v>241.14808495388834</v>
      </c>
      <c r="J48" s="21">
        <f>('FREEVAL INPUT 2020 Hourly'!J48)*(1+$B$4)^($B$1-'FREEVAL INPUT 2020 Hourly'!$B$1)</f>
        <v>1203.5381591534244</v>
      </c>
      <c r="K48" s="21">
        <f>('FREEVAL INPUT 2020 Hourly'!K48)*(1+$B$4)^($B$1-'FREEVAL INPUT 2020 Hourly'!$B$1)</f>
        <v>890.81644167897571</v>
      </c>
      <c r="L48" s="21">
        <f>('FREEVAL INPUT 2020 Hourly'!L48)*(1+$B$4)^($B$1-'FREEVAL INPUT 2020 Hourly'!$B$1)</f>
        <v>2094.3546008324001</v>
      </c>
      <c r="M48" s="21">
        <f>('FREEVAL INPUT 2020 Hourly'!M48)*(1+$B$4)^($B$1-'FREEVAL INPUT 2020 Hourly'!$B$1)</f>
        <v>241.14808495388834</v>
      </c>
      <c r="N48" s="21">
        <f>('FREEVAL INPUT 2020 Hourly'!N48)*(1+$B$4)^($B$1-'FREEVAL INPUT 2020 Hourly'!$B$1)</f>
        <v>1853.2065158785117</v>
      </c>
      <c r="O48" s="21">
        <f>('FREEVAL INPUT 2020 Hourly'!O48)*(1+$B$4)^($B$1-'FREEVAL INPUT 2020 Hourly'!$B$1)</f>
        <v>712.43292678157877</v>
      </c>
      <c r="P48" s="21">
        <f>('FREEVAL INPUT 2020 Hourly'!P48)*(1+$B$4)^($B$1-'FREEVAL INPUT 2020 Hourly'!$B$1)</f>
        <v>2565.6394426600905</v>
      </c>
      <c r="Q48" s="113">
        <f>('FREEVAL INPUT 2020 Hourly'!Q48)*(1+$B$4)^($B$1-'FREEVAL INPUT 2020 Hourly'!$B$1)</f>
        <v>91.394023064715668</v>
      </c>
      <c r="R48" s="21">
        <f>('FREEVAL INPUT 2020 Hourly'!R48)*(1+$B$4)^($B$1-'FREEVAL INPUT 2020 Hourly'!$B$1)</f>
        <v>2474.2454195953746</v>
      </c>
    </row>
    <row r="49" spans="1:18" x14ac:dyDescent="0.25">
      <c r="B49" s="38">
        <f t="shared" si="1"/>
        <v>13143.121196390919</v>
      </c>
      <c r="C49" s="20">
        <v>0.41666666666666702</v>
      </c>
      <c r="D49" s="21">
        <f>('FREEVAL INPUT 2020 Hourly'!D49)*(1+$B$4)^($B$1-'FREEVAL INPUT 2020 Hourly'!$B$1)</f>
        <v>1352.1910882345885</v>
      </c>
      <c r="E49" s="21">
        <f>('FREEVAL INPUT 2020 Hourly'!E49)*(1+$B$4)^($B$1-'FREEVAL INPUT 2020 Hourly'!$B$1)</f>
        <v>111.21441360887088</v>
      </c>
      <c r="F49" s="21">
        <f>('FREEVAL INPUT 2020 Hourly'!F49)*(1+$B$4)^($B$1-'FREEVAL INPUT 2020 Hourly'!$B$1)</f>
        <v>1240.9766746257178</v>
      </c>
      <c r="G49" s="21">
        <f>('FREEVAL INPUT 2020 Hourly'!G49)*(1+$B$4)^($B$1-'FREEVAL INPUT 2020 Hourly'!$B$1)</f>
        <v>85.888359024672567</v>
      </c>
      <c r="H49" s="21">
        <f>('FREEVAL INPUT 2020 Hourly'!H49)*(1+$B$4)^($B$1-'FREEVAL INPUT 2020 Hourly'!$B$1)</f>
        <v>1326.8650336503902</v>
      </c>
      <c r="I49" s="21">
        <f>('FREEVAL INPUT 2020 Hourly'!I49)*(1+$B$4)^($B$1-'FREEVAL INPUT 2020 Hourly'!$B$1)</f>
        <v>244.4514833779142</v>
      </c>
      <c r="J49" s="21">
        <f>('FREEVAL INPUT 2020 Hourly'!J49)*(1+$B$4)^($B$1-'FREEVAL INPUT 2020 Hourly'!$B$1)</f>
        <v>1082.413550272476</v>
      </c>
      <c r="K49" s="21">
        <f>('FREEVAL INPUT 2020 Hourly'!K49)*(1+$B$4)^($B$1-'FREEVAL INPUT 2020 Hourly'!$B$1)</f>
        <v>811.5348795023549</v>
      </c>
      <c r="L49" s="21">
        <f>('FREEVAL INPUT 2020 Hourly'!L49)*(1+$B$4)^($B$1-'FREEVAL INPUT 2020 Hourly'!$B$1)</f>
        <v>1893.9484297748309</v>
      </c>
      <c r="M49" s="21">
        <f>('FREEVAL INPUT 2020 Hourly'!M49)*(1+$B$4)^($B$1-'FREEVAL INPUT 2020 Hourly'!$B$1)</f>
        <v>135.43933538506059</v>
      </c>
      <c r="N49" s="21">
        <f>('FREEVAL INPUT 2020 Hourly'!N49)*(1+$B$4)^($B$1-'FREEVAL INPUT 2020 Hourly'!$B$1)</f>
        <v>1758.5090943897703</v>
      </c>
      <c r="O49" s="21">
        <f>('FREEVAL INPUT 2020 Hourly'!O49)*(1+$B$4)^($B$1-'FREEVAL INPUT 2020 Hourly'!$B$1)</f>
        <v>670.58988007725122</v>
      </c>
      <c r="P49" s="21">
        <f>('FREEVAL INPUT 2020 Hourly'!P49)*(1+$B$4)^($B$1-'FREEVAL INPUT 2020 Hourly'!$B$1)</f>
        <v>2429.0989744670214</v>
      </c>
      <c r="Q49" s="113">
        <f>('FREEVAL INPUT 2020 Hourly'!Q49)*(1+$B$4)^($B$1-'FREEVAL INPUT 2020 Hourly'!$B$1)</f>
        <v>99.10195272077604</v>
      </c>
      <c r="R49" s="21">
        <f>('FREEVAL INPUT 2020 Hourly'!R49)*(1+$B$4)^($B$1-'FREEVAL INPUT 2020 Hourly'!$B$1)</f>
        <v>2329.9970217462451</v>
      </c>
    </row>
    <row r="50" spans="1:18" x14ac:dyDescent="0.25">
      <c r="B50" s="38">
        <f t="shared" si="1"/>
        <v>13186.065375903258</v>
      </c>
      <c r="C50" s="20">
        <v>0.45833333333333298</v>
      </c>
      <c r="D50" s="21">
        <f>('FREEVAL INPUT 2020 Hourly'!D50)*(1+$B$4)^($B$1-'FREEVAL INPUT 2020 Hourly'!$B$1)</f>
        <v>1352.1910882345885</v>
      </c>
      <c r="E50" s="21">
        <f>('FREEVAL INPUT 2020 Hourly'!E50)*(1+$B$4)^($B$1-'FREEVAL INPUT 2020 Hourly'!$B$1)</f>
        <v>111.21441360887088</v>
      </c>
      <c r="F50" s="21">
        <f>('FREEVAL INPUT 2020 Hourly'!F50)*(1+$B$4)^($B$1-'FREEVAL INPUT 2020 Hourly'!$B$1)</f>
        <v>1240.9766746257178</v>
      </c>
      <c r="G50" s="21">
        <f>('FREEVAL INPUT 2020 Hourly'!G50)*(1+$B$4)^($B$1-'FREEVAL INPUT 2020 Hourly'!$B$1)</f>
        <v>75.978163752594952</v>
      </c>
      <c r="H50" s="21">
        <f>('FREEVAL INPUT 2020 Hourly'!H50)*(1+$B$4)^($B$1-'FREEVAL INPUT 2020 Hourly'!$B$1)</f>
        <v>1316.9548383783126</v>
      </c>
      <c r="I50" s="21">
        <f>('FREEVAL INPUT 2020 Hourly'!I50)*(1+$B$4)^($B$1-'FREEVAL INPUT 2020 Hourly'!$B$1)</f>
        <v>259.86734269003495</v>
      </c>
      <c r="J50" s="21">
        <f>('FREEVAL INPUT 2020 Hourly'!J50)*(1+$B$4)^($B$1-'FREEVAL INPUT 2020 Hourly'!$B$1)</f>
        <v>1057.0874956882776</v>
      </c>
      <c r="K50" s="21">
        <f>('FREEVAL INPUT 2020 Hourly'!K50)*(1+$B$4)^($B$1-'FREEVAL INPUT 2020 Hourly'!$B$1)</f>
        <v>845.66999655062216</v>
      </c>
      <c r="L50" s="21">
        <f>('FREEVAL INPUT 2020 Hourly'!L50)*(1+$B$4)^($B$1-'FREEVAL INPUT 2020 Hourly'!$B$1)</f>
        <v>1902.7574922388999</v>
      </c>
      <c r="M50" s="21">
        <f>('FREEVAL INPUT 2020 Hourly'!M50)*(1+$B$4)^($B$1-'FREEVAL INPUT 2020 Hourly'!$B$1)</f>
        <v>121.12460888094847</v>
      </c>
      <c r="N50" s="21">
        <f>('FREEVAL INPUT 2020 Hourly'!N50)*(1+$B$4)^($B$1-'FREEVAL INPUT 2020 Hourly'!$B$1)</f>
        <v>1781.6328833579514</v>
      </c>
      <c r="O50" s="21">
        <f>('FREEVAL INPUT 2020 Hourly'!O50)*(1+$B$4)^($B$1-'FREEVAL INPUT 2020 Hourly'!$B$1)</f>
        <v>669.48874726924259</v>
      </c>
      <c r="P50" s="21">
        <f>('FREEVAL INPUT 2020 Hourly'!P50)*(1+$B$4)^($B$1-'FREEVAL INPUT 2020 Hourly'!$B$1)</f>
        <v>2451.121630627194</v>
      </c>
      <c r="Q50" s="113">
        <f>('FREEVAL INPUT 2020 Hourly'!Q50)*(1+$B$4)^($B$1-'FREEVAL INPUT 2020 Hourly'!$B$1)</f>
        <v>103.50648395281051</v>
      </c>
      <c r="R50" s="21">
        <f>('FREEVAL INPUT 2020 Hourly'!R50)*(1+$B$4)^($B$1-'FREEVAL INPUT 2020 Hourly'!$B$1)</f>
        <v>2347.6151466743831</v>
      </c>
    </row>
    <row r="51" spans="1:18" x14ac:dyDescent="0.25">
      <c r="B51" s="38">
        <f t="shared" si="1"/>
        <v>13495.48369495368</v>
      </c>
      <c r="C51" s="20">
        <v>0.5</v>
      </c>
      <c r="D51" s="21">
        <f>('FREEVAL INPUT 2020 Hourly'!D51)*(1+$B$4)^($B$1-'FREEVAL INPUT 2020 Hourly'!$B$1)</f>
        <v>1374.2137443947611</v>
      </c>
      <c r="E51" s="21">
        <f>('FREEVAL INPUT 2020 Hourly'!E51)*(1+$B$4)^($B$1-'FREEVAL INPUT 2020 Hourly'!$B$1)</f>
        <v>124.42800730497434</v>
      </c>
      <c r="F51" s="21">
        <f>('FREEVAL INPUT 2020 Hourly'!F51)*(1+$B$4)^($B$1-'FREEVAL INPUT 2020 Hourly'!$B$1)</f>
        <v>1249.7857370897868</v>
      </c>
      <c r="G51" s="21">
        <f>('FREEVAL INPUT 2020 Hourly'!G51)*(1+$B$4)^($B$1-'FREEVAL INPUT 2020 Hourly'!$B$1)</f>
        <v>78.180429368612195</v>
      </c>
      <c r="H51" s="21">
        <f>('FREEVAL INPUT 2020 Hourly'!H51)*(1+$B$4)^($B$1-'FREEVAL INPUT 2020 Hourly'!$B$1)</f>
        <v>1327.9661664583989</v>
      </c>
      <c r="I51" s="21">
        <f>('FREEVAL INPUT 2020 Hourly'!I51)*(1+$B$4)^($B$1-'FREEVAL INPUT 2020 Hourly'!$B$1)</f>
        <v>289.59792850626769</v>
      </c>
      <c r="J51" s="21">
        <f>('FREEVAL INPUT 2020 Hourly'!J51)*(1+$B$4)^($B$1-'FREEVAL INPUT 2020 Hourly'!$B$1)</f>
        <v>1038.368237952131</v>
      </c>
      <c r="K51" s="21">
        <f>('FREEVAL INPUT 2020 Hourly'!K51)*(1+$B$4)^($B$1-'FREEVAL INPUT 2020 Hourly'!$B$1)</f>
        <v>890.81644167897571</v>
      </c>
      <c r="L51" s="21">
        <f>('FREEVAL INPUT 2020 Hourly'!L51)*(1+$B$4)^($B$1-'FREEVAL INPUT 2020 Hourly'!$B$1)</f>
        <v>1929.1846796311067</v>
      </c>
      <c r="M51" s="21">
        <f>('FREEVAL INPUT 2020 Hourly'!M51)*(1+$B$4)^($B$1-'FREEVAL INPUT 2020 Hourly'!$B$1)</f>
        <v>149.75406188917268</v>
      </c>
      <c r="N51" s="21">
        <f>('FREEVAL INPUT 2020 Hourly'!N51)*(1+$B$4)^($B$1-'FREEVAL INPUT 2020 Hourly'!$B$1)</f>
        <v>1779.4306177419342</v>
      </c>
      <c r="O51" s="21">
        <f>('FREEVAL INPUT 2020 Hourly'!O51)*(1+$B$4)^($B$1-'FREEVAL INPUT 2020 Hourly'!$B$1)</f>
        <v>742.16351259781163</v>
      </c>
      <c r="P51" s="21">
        <f>('FREEVAL INPUT 2020 Hourly'!P51)*(1+$B$4)^($B$1-'FREEVAL INPUT 2020 Hourly'!$B$1)</f>
        <v>2521.5941303397458</v>
      </c>
      <c r="Q51" s="113">
        <f>('FREEVAL INPUT 2020 Hourly'!Q51)*(1+$B$4)^($B$1-'FREEVAL INPUT 2020 Hourly'!$B$1)</f>
        <v>105.70874956882777</v>
      </c>
      <c r="R51" s="21">
        <f>('FREEVAL INPUT 2020 Hourly'!R51)*(1+$B$4)^($B$1-'FREEVAL INPUT 2020 Hourly'!$B$1)</f>
        <v>2415.8853807709179</v>
      </c>
    </row>
    <row r="52" spans="1:18" x14ac:dyDescent="0.25">
      <c r="B52" s="38">
        <f t="shared" si="1"/>
        <v>13259.841274039834</v>
      </c>
      <c r="C52" s="20">
        <v>0.54166666666666696</v>
      </c>
      <c r="D52" s="21">
        <f>('FREEVAL INPUT 2020 Hourly'!D52)*(1+$B$4)^($B$1-'FREEVAL INPUT 2020 Hourly'!$B$1)</f>
        <v>1305.9435102982263</v>
      </c>
      <c r="E52" s="21">
        <f>('FREEVAL INPUT 2020 Hourly'!E52)*(1+$B$4)^($B$1-'FREEVAL INPUT 2020 Hourly'!$B$1)</f>
        <v>101.30421833679328</v>
      </c>
      <c r="F52" s="21">
        <f>('FREEVAL INPUT 2020 Hourly'!F52)*(1+$B$4)^($B$1-'FREEVAL INPUT 2020 Hourly'!$B$1)</f>
        <v>1204.6392919614329</v>
      </c>
      <c r="G52" s="21">
        <f>('FREEVAL INPUT 2020 Hourly'!G52)*(1+$B$4)^($B$1-'FREEVAL INPUT 2020 Hourly'!$B$1)</f>
        <v>80.382694984629453</v>
      </c>
      <c r="H52" s="21">
        <f>('FREEVAL INPUT 2020 Hourly'!H52)*(1+$B$4)^($B$1-'FREEVAL INPUT 2020 Hourly'!$B$1)</f>
        <v>1285.0219869460625</v>
      </c>
      <c r="I52" s="21">
        <f>('FREEVAL INPUT 2020 Hourly'!I52)*(1+$B$4)^($B$1-'FREEVAL INPUT 2020 Hourly'!$B$1)</f>
        <v>233.440155297828</v>
      </c>
      <c r="J52" s="21">
        <f>('FREEVAL INPUT 2020 Hourly'!J52)*(1+$B$4)^($B$1-'FREEVAL INPUT 2020 Hourly'!$B$1)</f>
        <v>1051.5818316482346</v>
      </c>
      <c r="K52" s="21">
        <f>('FREEVAL INPUT 2020 Hourly'!K52)*(1+$B$4)^($B$1-'FREEVAL INPUT 2020 Hourly'!$B$1)</f>
        <v>865.49038709477736</v>
      </c>
      <c r="L52" s="21">
        <f>('FREEVAL INPUT 2020 Hourly'!L52)*(1+$B$4)^($B$1-'FREEVAL INPUT 2020 Hourly'!$B$1)</f>
        <v>1917.0722187430119</v>
      </c>
      <c r="M52" s="21">
        <f>('FREEVAL INPUT 2020 Hourly'!M52)*(1+$B$4)^($B$1-'FREEVAL INPUT 2020 Hourly'!$B$1)</f>
        <v>147.55179627315542</v>
      </c>
      <c r="N52" s="21">
        <f>('FREEVAL INPUT 2020 Hourly'!N52)*(1+$B$4)^($B$1-'FREEVAL INPUT 2020 Hourly'!$B$1)</f>
        <v>1769.5204224698566</v>
      </c>
      <c r="O52" s="21">
        <f>('FREEVAL INPUT 2020 Hourly'!O52)*(1+$B$4)^($B$1-'FREEVAL INPUT 2020 Hourly'!$B$1)</f>
        <v>764.18616875798409</v>
      </c>
      <c r="P52" s="21">
        <f>('FREEVAL INPUT 2020 Hourly'!P52)*(1+$B$4)^($B$1-'FREEVAL INPUT 2020 Hourly'!$B$1)</f>
        <v>2533.7065912278408</v>
      </c>
      <c r="Q52" s="113">
        <f>('FREEVAL INPUT 2020 Hourly'!Q52)*(1+$B$4)^($B$1-'FREEVAL INPUT 2020 Hourly'!$B$1)</f>
        <v>107.91101518484501</v>
      </c>
      <c r="R52" s="21">
        <f>('FREEVAL INPUT 2020 Hourly'!R52)*(1+$B$4)^($B$1-'FREEVAL INPUT 2020 Hourly'!$B$1)</f>
        <v>2425.7955760429954</v>
      </c>
    </row>
    <row r="53" spans="1:18" x14ac:dyDescent="0.25">
      <c r="B53" s="38">
        <f t="shared" si="1"/>
        <v>14229.939277895428</v>
      </c>
      <c r="C53" s="20">
        <v>0.58333333333333304</v>
      </c>
      <c r="D53" s="21">
        <f>('FREEVAL INPUT 2020 Hourly'!D53)*(1+$B$4)^($B$1-'FREEVAL INPUT 2020 Hourly'!$B$1)</f>
        <v>1495.3383532757093</v>
      </c>
      <c r="E53" s="21">
        <f>('FREEVAL INPUT 2020 Hourly'!E53)*(1+$B$4)^($B$1-'FREEVAL INPUT 2020 Hourly'!$B$1)</f>
        <v>155.25972592921579</v>
      </c>
      <c r="F53" s="21">
        <f>('FREEVAL INPUT 2020 Hourly'!F53)*(1+$B$4)^($B$1-'FREEVAL INPUT 2020 Hourly'!$B$1)</f>
        <v>1340.0786273464937</v>
      </c>
      <c r="G53" s="21">
        <f>('FREEVAL INPUT 2020 Hourly'!G53)*(1+$B$4)^($B$1-'FREEVAL INPUT 2020 Hourly'!$B$1)</f>
        <v>73.775898136577709</v>
      </c>
      <c r="H53" s="21">
        <f>('FREEVAL INPUT 2020 Hourly'!H53)*(1+$B$4)^($B$1-'FREEVAL INPUT 2020 Hourly'!$B$1)</f>
        <v>1413.8545254830713</v>
      </c>
      <c r="I53" s="21">
        <f>('FREEVAL INPUT 2020 Hourly'!I53)*(1+$B$4)^($B$1-'FREEVAL INPUT 2020 Hourly'!$B$1)</f>
        <v>238.94581933787109</v>
      </c>
      <c r="J53" s="21">
        <f>('FREEVAL INPUT 2020 Hourly'!J53)*(1+$B$4)^($B$1-'FREEVAL INPUT 2020 Hourly'!$B$1)</f>
        <v>1174.9087061452003</v>
      </c>
      <c r="K53" s="21">
        <f>('FREEVAL INPUT 2020 Hourly'!K53)*(1+$B$4)^($B$1-'FREEVAL INPUT 2020 Hourly'!$B$1)</f>
        <v>877.60284798287216</v>
      </c>
      <c r="L53" s="21">
        <f>('FREEVAL INPUT 2020 Hourly'!L53)*(1+$B$4)^($B$1-'FREEVAL INPUT 2020 Hourly'!$B$1)</f>
        <v>2052.5115541280725</v>
      </c>
      <c r="M53" s="21">
        <f>('FREEVAL INPUT 2020 Hourly'!M53)*(1+$B$4)^($B$1-'FREEVAL INPUT 2020 Hourly'!$B$1)</f>
        <v>124.42800730497434</v>
      </c>
      <c r="N53" s="21">
        <f>('FREEVAL INPUT 2020 Hourly'!N53)*(1+$B$4)^($B$1-'FREEVAL INPUT 2020 Hourly'!$B$1)</f>
        <v>1928.0835468230982</v>
      </c>
      <c r="O53" s="21">
        <f>('FREEVAL INPUT 2020 Hourly'!O53)*(1+$B$4)^($B$1-'FREEVAL INPUT 2020 Hourly'!$B$1)</f>
        <v>713.5340595895874</v>
      </c>
      <c r="P53" s="21">
        <f>('FREEVAL INPUT 2020 Hourly'!P53)*(1+$B$4)^($B$1-'FREEVAL INPUT 2020 Hourly'!$B$1)</f>
        <v>2641.6176064126857</v>
      </c>
      <c r="Q53" s="113">
        <f>('FREEVAL INPUT 2020 Hourly'!Q53)*(1+$B$4)^($B$1-'FREEVAL INPUT 2020 Hourly'!$B$1)</f>
        <v>111.21441360887088</v>
      </c>
      <c r="R53" s="21">
        <f>('FREEVAL INPUT 2020 Hourly'!R53)*(1+$B$4)^($B$1-'FREEVAL INPUT 2020 Hourly'!$B$1)</f>
        <v>2530.4031928038148</v>
      </c>
    </row>
    <row r="54" spans="1:18" x14ac:dyDescent="0.25">
      <c r="B54" s="38">
        <f t="shared" si="1"/>
        <v>14768.393221011645</v>
      </c>
      <c r="C54" s="20">
        <v>0.625</v>
      </c>
      <c r="D54" s="21">
        <f>('FREEVAL INPUT 2020 Hourly'!D54)*(1+$B$4)^($B$1-'FREEVAL INPUT 2020 Hourly'!$B$1)</f>
        <v>1557.0017905241923</v>
      </c>
      <c r="E54" s="21">
        <f>('FREEVAL INPUT 2020 Hourly'!E54)*(1+$B$4)^($B$1-'FREEVAL INPUT 2020 Hourly'!$B$1)</f>
        <v>176.18124928137959</v>
      </c>
      <c r="F54" s="21">
        <f>('FREEVAL INPUT 2020 Hourly'!F54)*(1+$B$4)^($B$1-'FREEVAL INPUT 2020 Hourly'!$B$1)</f>
        <v>1380.8205412428129</v>
      </c>
      <c r="G54" s="21">
        <f>('FREEVAL INPUT 2020 Hourly'!G54)*(1+$B$4)^($B$1-'FREEVAL INPUT 2020 Hourly'!$B$1)</f>
        <v>86.989491832681196</v>
      </c>
      <c r="H54" s="21">
        <f>('FREEVAL INPUT 2020 Hourly'!H54)*(1+$B$4)^($B$1-'FREEVAL INPUT 2020 Hourly'!$B$1)</f>
        <v>1467.8100330754939</v>
      </c>
      <c r="I54" s="21">
        <f>('FREEVAL INPUT 2020 Hourly'!I54)*(1+$B$4)^($B$1-'FREEVAL INPUT 2020 Hourly'!$B$1)</f>
        <v>262.06960830605215</v>
      </c>
      <c r="J54" s="21">
        <f>('FREEVAL INPUT 2020 Hourly'!J54)*(1+$B$4)^($B$1-'FREEVAL INPUT 2020 Hourly'!$B$1)</f>
        <v>1205.7404247694417</v>
      </c>
      <c r="K54" s="21">
        <f>('FREEVAL INPUT 2020 Hourly'!K54)*(1+$B$4)^($B$1-'FREEVAL INPUT 2020 Hourly'!$B$1)</f>
        <v>856.68132463070833</v>
      </c>
      <c r="L54" s="21">
        <f>('FREEVAL INPUT 2020 Hourly'!L54)*(1+$B$4)^($B$1-'FREEVAL INPUT 2020 Hourly'!$B$1)</f>
        <v>2062.42174940015</v>
      </c>
      <c r="M54" s="21">
        <f>('FREEVAL INPUT 2020 Hourly'!M54)*(1+$B$4)^($B$1-'FREEVAL INPUT 2020 Hourly'!$B$1)</f>
        <v>162.96765558527613</v>
      </c>
      <c r="N54" s="21">
        <f>('FREEVAL INPUT 2020 Hourly'!N54)*(1+$B$4)^($B$1-'FREEVAL INPUT 2020 Hourly'!$B$1)</f>
        <v>1899.4540938148739</v>
      </c>
      <c r="O54" s="21">
        <f>('FREEVAL INPUT 2020 Hourly'!O54)*(1+$B$4)^($B$1-'FREEVAL INPUT 2020 Hourly'!$B$1)</f>
        <v>875.40058236685491</v>
      </c>
      <c r="P54" s="21">
        <f>('FREEVAL INPUT 2020 Hourly'!P54)*(1+$B$4)^($B$1-'FREEVAL INPUT 2020 Hourly'!$B$1)</f>
        <v>2774.8546761817292</v>
      </c>
      <c r="Q54" s="113">
        <f>('FREEVAL INPUT 2020 Hourly'!Q54)*(1+$B$4)^($B$1-'FREEVAL INPUT 2020 Hourly'!$B$1)</f>
        <v>114.51781203289676</v>
      </c>
      <c r="R54" s="21">
        <f>('FREEVAL INPUT 2020 Hourly'!R54)*(1+$B$4)^($B$1-'FREEVAL INPUT 2020 Hourly'!$B$1)</f>
        <v>2660.3368641488323</v>
      </c>
    </row>
    <row r="55" spans="1:18" s="51" customFormat="1" x14ac:dyDescent="0.25">
      <c r="A55" s="102" t="s">
        <v>242</v>
      </c>
      <c r="B55" s="39">
        <f t="shared" si="1"/>
        <v>16100</v>
      </c>
      <c r="C55" s="40">
        <v>0.66666666666666696</v>
      </c>
      <c r="D55" s="44">
        <v>1566</v>
      </c>
      <c r="E55" s="44">
        <v>230</v>
      </c>
      <c r="F55" s="44">
        <v>1336</v>
      </c>
      <c r="G55" s="44">
        <v>365</v>
      </c>
      <c r="H55" s="44">
        <v>1701</v>
      </c>
      <c r="I55" s="44">
        <v>283</v>
      </c>
      <c r="J55" s="44">
        <v>1418</v>
      </c>
      <c r="K55" s="44">
        <v>882</v>
      </c>
      <c r="L55" s="44">
        <v>2300</v>
      </c>
      <c r="M55" s="44">
        <v>249</v>
      </c>
      <c r="N55" s="44">
        <v>2051</v>
      </c>
      <c r="O55" s="44">
        <v>834</v>
      </c>
      <c r="P55" s="44">
        <v>2885</v>
      </c>
      <c r="Q55" s="44">
        <v>108</v>
      </c>
      <c r="R55" s="44">
        <v>2777</v>
      </c>
    </row>
    <row r="56" spans="1:18" x14ac:dyDescent="0.25">
      <c r="B56" s="38">
        <f t="shared" si="1"/>
        <v>14817.944197372035</v>
      </c>
      <c r="C56" s="20">
        <v>0.70833333333333304</v>
      </c>
      <c r="D56" s="21">
        <f>('FREEVAL INPUT 2020 Hourly'!D56)*(1+$B$4)^($B$1-'FREEVAL INPUT 2020 Hourly'!$B$1)</f>
        <v>1575.7210482603389</v>
      </c>
      <c r="E56" s="21">
        <f>('FREEVAL INPUT 2020 Hourly'!E56)*(1+$B$4)^($B$1-'FREEVAL INPUT 2020 Hourly'!$B$1)</f>
        <v>221.32769440973314</v>
      </c>
      <c r="F56" s="21">
        <f>('FREEVAL INPUT 2020 Hourly'!F56)*(1+$B$4)^($B$1-'FREEVAL INPUT 2020 Hourly'!$B$1)</f>
        <v>1354.3933538506058</v>
      </c>
      <c r="G56" s="21">
        <f>('FREEVAL INPUT 2020 Hourly'!G56)*(1+$B$4)^($B$1-'FREEVAL INPUT 2020 Hourly'!$B$1)</f>
        <v>115.61894484090537</v>
      </c>
      <c r="H56" s="21">
        <f>('FREEVAL INPUT 2020 Hourly'!H56)*(1+$B$4)^($B$1-'FREEVAL INPUT 2020 Hourly'!$B$1)</f>
        <v>1470.0122986915112</v>
      </c>
      <c r="I56" s="21">
        <f>('FREEVAL INPUT 2020 Hourly'!I56)*(1+$B$4)^($B$1-'FREEVAL INPUT 2020 Hourly'!$B$1)</f>
        <v>289.59792850626769</v>
      </c>
      <c r="J56" s="21">
        <f>('FREEVAL INPUT 2020 Hourly'!J56)*(1+$B$4)^($B$1-'FREEVAL INPUT 2020 Hourly'!$B$1)</f>
        <v>1180.4143701852433</v>
      </c>
      <c r="K56" s="21">
        <f>('FREEVAL INPUT 2020 Hourly'!K56)*(1+$B$4)^($B$1-'FREEVAL INPUT 2020 Hourly'!$B$1)</f>
        <v>927.15382434326023</v>
      </c>
      <c r="L56" s="21">
        <f>('FREEVAL INPUT 2020 Hourly'!L56)*(1+$B$4)^($B$1-'FREEVAL INPUT 2020 Hourly'!$B$1)</f>
        <v>2107.5681945285037</v>
      </c>
      <c r="M56" s="21">
        <f>('FREEVAL INPUT 2020 Hourly'!M56)*(1+$B$4)^($B$1-'FREEVAL INPUT 2020 Hourly'!$B$1)</f>
        <v>248.85601460994869</v>
      </c>
      <c r="N56" s="21">
        <f>('FREEVAL INPUT 2020 Hourly'!N56)*(1+$B$4)^($B$1-'FREEVAL INPUT 2020 Hourly'!$B$1)</f>
        <v>1858.712179918555</v>
      </c>
      <c r="O56" s="21">
        <f>('FREEVAL INPUT 2020 Hourly'!O56)*(1+$B$4)^($B$1-'FREEVAL INPUT 2020 Hourly'!$B$1)</f>
        <v>804.92808265430313</v>
      </c>
      <c r="P56" s="21">
        <f>('FREEVAL INPUT 2020 Hourly'!P56)*(1+$B$4)^($B$1-'FREEVAL INPUT 2020 Hourly'!$B$1)</f>
        <v>2663.6402625728579</v>
      </c>
      <c r="Q56" s="113">
        <f>('FREEVAL INPUT 2020 Hourly'!Q56)*(1+$B$4)^($B$1-'FREEVAL INPUT 2020 Hourly'!$B$1)</f>
        <v>104.60761676081914</v>
      </c>
      <c r="R56" s="21">
        <f>('FREEVAL INPUT 2020 Hourly'!R56)*(1+$B$4)^($B$1-'FREEVAL INPUT 2020 Hourly'!$B$1)</f>
        <v>2559.0326458120389</v>
      </c>
    </row>
    <row r="57" spans="1:18" x14ac:dyDescent="0.25">
      <c r="B57" s="38">
        <f t="shared" si="1"/>
        <v>11321.847531944655</v>
      </c>
      <c r="C57" s="20">
        <v>0.749999999999999</v>
      </c>
      <c r="D57" s="21">
        <f>('FREEVAL INPUT 2020 Hourly'!D57)*(1+$B$4)^($B$1-'FREEVAL INPUT 2020 Hourly'!$B$1)</f>
        <v>1134.1667922488814</v>
      </c>
      <c r="E57" s="21">
        <f>('FREEVAL INPUT 2020 Hourly'!E57)*(1+$B$4)^($B$1-'FREEVAL INPUT 2020 Hourly'!$B$1)</f>
        <v>132.1359369610347</v>
      </c>
      <c r="F57" s="21">
        <f>('FREEVAL INPUT 2020 Hourly'!F57)*(1+$B$4)^($B$1-'FREEVAL INPUT 2020 Hourly'!$B$1)</f>
        <v>1002.0308552878465</v>
      </c>
      <c r="G57" s="21">
        <f>('FREEVAL INPUT 2020 Hourly'!G57)*(1+$B$4)^($B$1-'FREEVAL INPUT 2020 Hourly'!$B$1)</f>
        <v>82.584960600646696</v>
      </c>
      <c r="H57" s="21">
        <f>('FREEVAL INPUT 2020 Hourly'!H57)*(1+$B$4)^($B$1-'FREEVAL INPUT 2020 Hourly'!$B$1)</f>
        <v>1084.6158158884932</v>
      </c>
      <c r="I57" s="21">
        <f>('FREEVAL INPUT 2020 Hourly'!I57)*(1+$B$4)^($B$1-'FREEVAL INPUT 2020 Hourly'!$B$1)</f>
        <v>254.3616786499918</v>
      </c>
      <c r="J57" s="21">
        <f>('FREEVAL INPUT 2020 Hourly'!J57)*(1+$B$4)^($B$1-'FREEVAL INPUT 2020 Hourly'!$B$1)</f>
        <v>830.25413723850136</v>
      </c>
      <c r="K57" s="21">
        <f>('FREEVAL INPUT 2020 Hourly'!K57)*(1+$B$4)^($B$1-'FREEVAL INPUT 2020 Hourly'!$B$1)</f>
        <v>767.48956718200998</v>
      </c>
      <c r="L57" s="21">
        <f>('FREEVAL INPUT 2020 Hourly'!L57)*(1+$B$4)^($B$1-'FREEVAL INPUT 2020 Hourly'!$B$1)</f>
        <v>1597.7437044205112</v>
      </c>
      <c r="M57" s="21">
        <f>('FREEVAL INPUT 2020 Hourly'!M57)*(1+$B$4)^($B$1-'FREEVAL INPUT 2020 Hourly'!$B$1)</f>
        <v>157.46199154523302</v>
      </c>
      <c r="N57" s="21">
        <f>('FREEVAL INPUT 2020 Hourly'!N57)*(1+$B$4)^($B$1-'FREEVAL INPUT 2020 Hourly'!$B$1)</f>
        <v>1440.2817128752783</v>
      </c>
      <c r="O57" s="21">
        <f>('FREEVAL INPUT 2020 Hourly'!O57)*(1+$B$4)^($B$1-'FREEVAL INPUT 2020 Hourly'!$B$1)</f>
        <v>699.21933308547523</v>
      </c>
      <c r="P57" s="21">
        <f>('FREEVAL INPUT 2020 Hourly'!P57)*(1+$B$4)^($B$1-'FREEVAL INPUT 2020 Hourly'!$B$1)</f>
        <v>2139.5010459607538</v>
      </c>
      <c r="Q57" s="113">
        <f>('FREEVAL INPUT 2020 Hourly'!Q57)*(1+$B$4)^($B$1-'FREEVAL INPUT 2020 Hourly'!$B$1)</f>
        <v>83.686093408655324</v>
      </c>
      <c r="R57" s="21">
        <f>('FREEVAL INPUT 2020 Hourly'!R57)*(1+$B$4)^($B$1-'FREEVAL INPUT 2020 Hourly'!$B$1)</f>
        <v>2055.8149525520985</v>
      </c>
    </row>
    <row r="58" spans="1:18" x14ac:dyDescent="0.25">
      <c r="B58" s="38">
        <f t="shared" si="1"/>
        <v>8870.7259013174644</v>
      </c>
      <c r="C58" s="20">
        <v>0.79166666666666496</v>
      </c>
      <c r="D58" s="21">
        <f>('FREEVAL INPUT 2020 Hourly'!D58)*(1+$B$4)^($B$1-'FREEVAL INPUT 2020 Hourly'!$B$1)</f>
        <v>841.26546531858764</v>
      </c>
      <c r="E58" s="21">
        <f>('FREEVAL INPUT 2020 Hourly'!E58)*(1+$B$4)^($B$1-'FREEVAL INPUT 2020 Hourly'!$B$1)</f>
        <v>77.079296560603581</v>
      </c>
      <c r="F58" s="21">
        <f>('FREEVAL INPUT 2020 Hourly'!F58)*(1+$B$4)^($B$1-'FREEVAL INPUT 2020 Hourly'!$B$1)</f>
        <v>764.18616875798409</v>
      </c>
      <c r="G58" s="21">
        <f>('FREEVAL INPUT 2020 Hourly'!G58)*(1+$B$4)^($B$1-'FREEVAL INPUT 2020 Hourly'!$B$1)</f>
        <v>56.15777320843975</v>
      </c>
      <c r="H58" s="21">
        <f>('FREEVAL INPUT 2020 Hourly'!H58)*(1+$B$4)^($B$1-'FREEVAL INPUT 2020 Hourly'!$B$1)</f>
        <v>820.34394196642393</v>
      </c>
      <c r="I58" s="21">
        <f>('FREEVAL INPUT 2020 Hourly'!I58)*(1+$B$4)^($B$1-'FREEVAL INPUT 2020 Hourly'!$B$1)</f>
        <v>157.46199154523302</v>
      </c>
      <c r="J58" s="21">
        <f>('FREEVAL INPUT 2020 Hourly'!J58)*(1+$B$4)^($B$1-'FREEVAL INPUT 2020 Hourly'!$B$1)</f>
        <v>662.88195042119082</v>
      </c>
      <c r="K58" s="21">
        <f>('FREEVAL INPUT 2020 Hourly'!K58)*(1+$B$4)^($B$1-'FREEVAL INPUT 2020 Hourly'!$B$1)</f>
        <v>626.54456775690619</v>
      </c>
      <c r="L58" s="21">
        <f>('FREEVAL INPUT 2020 Hourly'!L58)*(1+$B$4)^($B$1-'FREEVAL INPUT 2020 Hourly'!$B$1)</f>
        <v>1289.426518178097</v>
      </c>
      <c r="M58" s="21">
        <f>('FREEVAL INPUT 2020 Hourly'!M58)*(1+$B$4)^($B$1-'FREEVAL INPUT 2020 Hourly'!$B$1)</f>
        <v>128.83253853700884</v>
      </c>
      <c r="N58" s="21">
        <f>('FREEVAL INPUT 2020 Hourly'!N58)*(1+$B$4)^($B$1-'FREEVAL INPUT 2020 Hourly'!$B$1)</f>
        <v>1160.593979641088</v>
      </c>
      <c r="O58" s="21">
        <f>('FREEVAL INPUT 2020 Hourly'!O58)*(1+$B$4)^($B$1-'FREEVAL INPUT 2020 Hourly'!$B$1)</f>
        <v>562.67886489240618</v>
      </c>
      <c r="P58" s="21">
        <f>('FREEVAL INPUT 2020 Hourly'!P58)*(1+$B$4)^($B$1-'FREEVAL INPUT 2020 Hourly'!$B$1)</f>
        <v>1723.2728445334944</v>
      </c>
      <c r="Q58" s="113">
        <f>('FREEVAL INPUT 2020 Hourly'!Q58)*(1+$B$4)^($B$1-'FREEVAL INPUT 2020 Hourly'!$B$1)</f>
        <v>66.067968480517351</v>
      </c>
      <c r="R58" s="21">
        <f>('FREEVAL INPUT 2020 Hourly'!R58)*(1+$B$4)^($B$1-'FREEVAL INPUT 2020 Hourly'!$B$1)</f>
        <v>1657.2048760529769</v>
      </c>
    </row>
    <row r="59" spans="1:18" x14ac:dyDescent="0.25">
      <c r="B59" s="38">
        <f t="shared" si="1"/>
        <v>7826.8519993252903</v>
      </c>
      <c r="C59" s="20">
        <v>0.83333333333333104</v>
      </c>
      <c r="D59" s="21">
        <f>('FREEVAL INPUT 2020 Hourly'!D59)*(1+$B$4)^($B$1-'FREEVAL INPUT 2020 Hourly'!$B$1)</f>
        <v>745.46691102183752</v>
      </c>
      <c r="E59" s="21">
        <f>('FREEVAL INPUT 2020 Hourly'!E59)*(1+$B$4)^($B$1-'FREEVAL INPUT 2020 Hourly'!$B$1)</f>
        <v>69.371366904543223</v>
      </c>
      <c r="F59" s="21">
        <f>('FREEVAL INPUT 2020 Hourly'!F59)*(1+$B$4)^($B$1-'FREEVAL INPUT 2020 Hourly'!$B$1)</f>
        <v>676.09554411729425</v>
      </c>
      <c r="G59" s="21">
        <f>('FREEVAL INPUT 2020 Hourly'!G59)*(1+$B$4)^($B$1-'FREEVAL INPUT 2020 Hourly'!$B$1)</f>
        <v>51.753241976405256</v>
      </c>
      <c r="H59" s="21">
        <f>('FREEVAL INPUT 2020 Hourly'!H59)*(1+$B$4)^($B$1-'FREEVAL INPUT 2020 Hourly'!$B$1)</f>
        <v>727.84878609369946</v>
      </c>
      <c r="I59" s="21">
        <f>('FREEVAL INPUT 2020 Hourly'!I59)*(1+$B$4)^($B$1-'FREEVAL INPUT 2020 Hourly'!$B$1)</f>
        <v>122.2257416889571</v>
      </c>
      <c r="J59" s="21">
        <f>('FREEVAL INPUT 2020 Hourly'!J59)*(1+$B$4)^($B$1-'FREEVAL INPUT 2020 Hourly'!$B$1)</f>
        <v>605.62304440474236</v>
      </c>
      <c r="K59" s="21">
        <f>('FREEVAL INPUT 2020 Hourly'!K59)*(1+$B$4)^($B$1-'FREEVAL INPUT 2020 Hourly'!$B$1)</f>
        <v>547.26300558028549</v>
      </c>
      <c r="L59" s="21">
        <f>('FREEVAL INPUT 2020 Hourly'!L59)*(1+$B$4)^($B$1-'FREEVAL INPUT 2020 Hourly'!$B$1)</f>
        <v>1152.8860499850277</v>
      </c>
      <c r="M59" s="21">
        <f>('FREEVAL INPUT 2020 Hourly'!M59)*(1+$B$4)^($B$1-'FREEVAL INPUT 2020 Hourly'!$B$1)</f>
        <v>100.20308552878465</v>
      </c>
      <c r="N59" s="21">
        <f>('FREEVAL INPUT 2020 Hourly'!N59)*(1+$B$4)^($B$1-'FREEVAL INPUT 2020 Hourly'!$B$1)</f>
        <v>1052.6829644562431</v>
      </c>
      <c r="O59" s="21">
        <f>('FREEVAL INPUT 2020 Hourly'!O59)*(1+$B$4)^($B$1-'FREEVAL INPUT 2020 Hourly'!$B$1)</f>
        <v>461.37464655561286</v>
      </c>
      <c r="P59" s="21">
        <f>('FREEVAL INPUT 2020 Hourly'!P59)*(1+$B$4)^($B$1-'FREEVAL INPUT 2020 Hourly'!$B$1)</f>
        <v>1514.0576110118561</v>
      </c>
      <c r="Q59" s="113">
        <f>('FREEVAL INPUT 2020 Hourly'!Q59)*(1+$B$4)^($B$1-'FREEVAL INPUT 2020 Hourly'!$B$1)</f>
        <v>52.854374784413885</v>
      </c>
      <c r="R59" s="21">
        <f>('FREEVAL INPUT 2020 Hourly'!R59)*(1+$B$4)^($B$1-'FREEVAL INPUT 2020 Hourly'!$B$1)</f>
        <v>1461.2032362274422</v>
      </c>
    </row>
    <row r="60" spans="1:18" x14ac:dyDescent="0.25">
      <c r="B60" s="38">
        <f t="shared" si="1"/>
        <v>5733.5985313008978</v>
      </c>
      <c r="C60" s="20">
        <v>0.874999999999997</v>
      </c>
      <c r="D60" s="21">
        <f>('FREEVAL INPUT 2020 Hourly'!D60)*(1+$B$4)^($B$1-'FREEVAL INPUT 2020 Hourly'!$B$1)</f>
        <v>525.24034942011292</v>
      </c>
      <c r="E60" s="21">
        <f>('FREEVAL INPUT 2020 Hourly'!E60)*(1+$B$4)^($B$1-'FREEVAL INPUT 2020 Hourly'!$B$1)</f>
        <v>37.438515472293169</v>
      </c>
      <c r="F60" s="21">
        <f>('FREEVAL INPUT 2020 Hourly'!F60)*(1+$B$4)^($B$1-'FREEVAL INPUT 2020 Hourly'!$B$1)</f>
        <v>487.80183394781977</v>
      </c>
      <c r="G60" s="21">
        <f>('FREEVAL INPUT 2020 Hourly'!G60)*(1+$B$4)^($B$1-'FREEVAL INPUT 2020 Hourly'!$B$1)</f>
        <v>25.326054584198321</v>
      </c>
      <c r="H60" s="21">
        <f>('FREEVAL INPUT 2020 Hourly'!H60)*(1+$B$4)^($B$1-'FREEVAL INPUT 2020 Hourly'!$B$1)</f>
        <v>513.12788853201812</v>
      </c>
      <c r="I60" s="21">
        <f>('FREEVAL INPUT 2020 Hourly'!I60)*(1+$B$4)^($B$1-'FREEVAL INPUT 2020 Hourly'!$B$1)</f>
        <v>82.584960600646696</v>
      </c>
      <c r="J60" s="21">
        <f>('FREEVAL INPUT 2020 Hourly'!J60)*(1+$B$4)^($B$1-'FREEVAL INPUT 2020 Hourly'!$B$1)</f>
        <v>430.54292793137142</v>
      </c>
      <c r="K60" s="21">
        <f>('FREEVAL INPUT 2020 Hourly'!K60)*(1+$B$4)^($B$1-'FREEVAL INPUT 2020 Hourly'!$B$1)</f>
        <v>447.0599200515008</v>
      </c>
      <c r="L60" s="21">
        <f>('FREEVAL INPUT 2020 Hourly'!L60)*(1+$B$4)^($B$1-'FREEVAL INPUT 2020 Hourly'!$B$1)</f>
        <v>877.60284798287216</v>
      </c>
      <c r="M60" s="21">
        <f>('FREEVAL INPUT 2020 Hourly'!M60)*(1+$B$4)^($B$1-'FREEVAL INPUT 2020 Hourly'!$B$1)</f>
        <v>60.562304440474236</v>
      </c>
      <c r="N60" s="21">
        <f>('FREEVAL INPUT 2020 Hourly'!N60)*(1+$B$4)^($B$1-'FREEVAL INPUT 2020 Hourly'!$B$1)</f>
        <v>817.04054354239804</v>
      </c>
      <c r="O60" s="21">
        <f>('FREEVAL INPUT 2020 Hourly'!O60)*(1+$B$4)^($B$1-'FREEVAL INPUT 2020 Hourly'!$B$1)</f>
        <v>306.11492062639707</v>
      </c>
      <c r="P60" s="21">
        <f>('FREEVAL INPUT 2020 Hourly'!P60)*(1+$B$4)^($B$1-'FREEVAL INPUT 2020 Hourly'!$B$1)</f>
        <v>1123.1554641687951</v>
      </c>
      <c r="Q60" s="113">
        <f>('FREEVAL INPUT 2020 Hourly'!Q60)*(1+$B$4)^($B$1-'FREEVAL INPUT 2020 Hourly'!$B$1)</f>
        <v>42.944179512336284</v>
      </c>
      <c r="R60" s="21">
        <f>('FREEVAL INPUT 2020 Hourly'!R60)*(1+$B$4)^($B$1-'FREEVAL INPUT 2020 Hourly'!$B$1)</f>
        <v>1080.2112846564587</v>
      </c>
    </row>
    <row r="61" spans="1:18" x14ac:dyDescent="0.25">
      <c r="B61" s="38">
        <f t="shared" si="1"/>
        <v>4000.415491495326</v>
      </c>
      <c r="C61" s="20">
        <v>0.91666666666666297</v>
      </c>
      <c r="D61" s="21">
        <f>('FREEVAL INPUT 2020 Hourly'!D61)*(1+$B$4)^($B$1-'FREEVAL INPUT 2020 Hourly'!$B$1)</f>
        <v>379.89081876297479</v>
      </c>
      <c r="E61" s="21">
        <f>('FREEVAL INPUT 2020 Hourly'!E61)*(1+$B$4)^($B$1-'FREEVAL INPUT 2020 Hourly'!$B$1)</f>
        <v>26.427187392206942</v>
      </c>
      <c r="F61" s="21">
        <f>('FREEVAL INPUT 2020 Hourly'!F61)*(1+$B$4)^($B$1-'FREEVAL INPUT 2020 Hourly'!$B$1)</f>
        <v>353.46363137076781</v>
      </c>
      <c r="G61" s="21">
        <f>('FREEVAL INPUT 2020 Hourly'!G61)*(1+$B$4)^($B$1-'FREEVAL INPUT 2020 Hourly'!$B$1)</f>
        <v>18.719257736146584</v>
      </c>
      <c r="H61" s="21">
        <f>('FREEVAL INPUT 2020 Hourly'!H61)*(1+$B$4)^($B$1-'FREEVAL INPUT 2020 Hourly'!$B$1)</f>
        <v>372.18288910691444</v>
      </c>
      <c r="I61" s="21">
        <f>('FREEVAL INPUT 2020 Hourly'!I61)*(1+$B$4)^($B$1-'FREEVAL INPUT 2020 Hourly'!$B$1)</f>
        <v>44.045312320344898</v>
      </c>
      <c r="J61" s="21">
        <f>('FREEVAL INPUT 2020 Hourly'!J61)*(1+$B$4)^($B$1-'FREEVAL INPUT 2020 Hourly'!$B$1)</f>
        <v>328.13757678656953</v>
      </c>
      <c r="K61" s="21">
        <f>('FREEVAL INPUT 2020 Hourly'!K61)*(1+$B$4)^($B$1-'FREEVAL INPUT 2020 Hourly'!$B$1)</f>
        <v>274.18206919414706</v>
      </c>
      <c r="L61" s="21">
        <f>('FREEVAL INPUT 2020 Hourly'!L61)*(1+$B$4)^($B$1-'FREEVAL INPUT 2020 Hourly'!$B$1)</f>
        <v>602.31964598071647</v>
      </c>
      <c r="M61" s="21">
        <f>('FREEVAL INPUT 2020 Hourly'!M61)*(1+$B$4)^($B$1-'FREEVAL INPUT 2020 Hourly'!$B$1)</f>
        <v>39.640781088310412</v>
      </c>
      <c r="N61" s="21">
        <f>('FREEVAL INPUT 2020 Hourly'!N61)*(1+$B$4)^($B$1-'FREEVAL INPUT 2020 Hourly'!$B$1)</f>
        <v>562.67886489240618</v>
      </c>
      <c r="O61" s="21">
        <f>('FREEVAL INPUT 2020 Hourly'!O61)*(1+$B$4)^($B$1-'FREEVAL INPUT 2020 Hourly'!$B$1)</f>
        <v>218.02429598570725</v>
      </c>
      <c r="P61" s="21">
        <f>('FREEVAL INPUT 2020 Hourly'!P61)*(1+$B$4)^($B$1-'FREEVAL INPUT 2020 Hourly'!$B$1)</f>
        <v>780.70316087811341</v>
      </c>
      <c r="Q61" s="113">
        <f>('FREEVAL INPUT 2020 Hourly'!Q61)*(1+$B$4)^($B$1-'FREEVAL INPUT 2020 Hourly'!$B$1)</f>
        <v>33.033984240258675</v>
      </c>
      <c r="R61" s="21">
        <f>('FREEVAL INPUT 2020 Hourly'!R61)*(1+$B$4)^($B$1-'FREEVAL INPUT 2020 Hourly'!$B$1)</f>
        <v>747.66917663785466</v>
      </c>
    </row>
    <row r="62" spans="1:18" x14ac:dyDescent="0.25">
      <c r="B62" s="38">
        <f t="shared" si="1"/>
        <v>2702.17991085316</v>
      </c>
      <c r="C62" s="20">
        <v>0.95833333333333004</v>
      </c>
      <c r="D62" s="21">
        <f>('FREEVAL INPUT 2020 Hourly'!D62)*(1+$B$4)^($B$1-'FREEVAL INPUT 2020 Hourly'!$B$1)</f>
        <v>296.20472535431946</v>
      </c>
      <c r="E62" s="21">
        <f>('FREEVAL INPUT 2020 Hourly'!E62)*(1+$B$4)^($B$1-'FREEVAL INPUT 2020 Hourly'!$B$1)</f>
        <v>16.516992120129338</v>
      </c>
      <c r="F62" s="21">
        <f>('FREEVAL INPUT 2020 Hourly'!F62)*(1+$B$4)^($B$1-'FREEVAL INPUT 2020 Hourly'!$B$1)</f>
        <v>279.68773323419015</v>
      </c>
      <c r="G62" s="21">
        <f>('FREEVAL INPUT 2020 Hourly'!G62)*(1+$B$4)^($B$1-'FREEVAL INPUT 2020 Hourly'!$B$1)</f>
        <v>11.011328080086225</v>
      </c>
      <c r="H62" s="21">
        <f>('FREEVAL INPUT 2020 Hourly'!H62)*(1+$B$4)^($B$1-'FREEVAL INPUT 2020 Hourly'!$B$1)</f>
        <v>290.69906131427632</v>
      </c>
      <c r="I62" s="21">
        <f>('FREEVAL INPUT 2020 Hourly'!I62)*(1+$B$4)^($B$1-'FREEVAL INPUT 2020 Hourly'!$B$1)</f>
        <v>45.146445128353527</v>
      </c>
      <c r="J62" s="21">
        <f>('FREEVAL INPUT 2020 Hourly'!J62)*(1+$B$4)^($B$1-'FREEVAL INPUT 2020 Hourly'!$B$1)</f>
        <v>245.55261618592283</v>
      </c>
      <c r="K62" s="21">
        <f>('FREEVAL INPUT 2020 Hourly'!K62)*(1+$B$4)^($B$1-'FREEVAL INPUT 2020 Hourly'!$B$1)</f>
        <v>157.46199154523302</v>
      </c>
      <c r="L62" s="21">
        <f>('FREEVAL INPUT 2020 Hourly'!L62)*(1+$B$4)^($B$1-'FREEVAL INPUT 2020 Hourly'!$B$1)</f>
        <v>403.01460773115588</v>
      </c>
      <c r="M62" s="21">
        <f>('FREEVAL INPUT 2020 Hourly'!M62)*(1+$B$4)^($B$1-'FREEVAL INPUT 2020 Hourly'!$B$1)</f>
        <v>23.123788968181074</v>
      </c>
      <c r="N62" s="21">
        <f>('FREEVAL INPUT 2020 Hourly'!N62)*(1+$B$4)^($B$1-'FREEVAL INPUT 2020 Hourly'!$B$1)</f>
        <v>379.89081876297479</v>
      </c>
      <c r="O62" s="21">
        <f>('FREEVAL INPUT 2020 Hourly'!O62)*(1+$B$4)^($B$1-'FREEVAL INPUT 2020 Hourly'!$B$1)</f>
        <v>86.989491832681196</v>
      </c>
      <c r="P62" s="21">
        <f>('FREEVAL INPUT 2020 Hourly'!P62)*(1+$B$4)^($B$1-'FREEVAL INPUT 2020 Hourly'!$B$1)</f>
        <v>466.880310595656</v>
      </c>
      <c r="Q62" s="113">
        <f>('FREEVAL INPUT 2020 Hourly'!Q62)*(1+$B$4)^($B$1-'FREEVAL INPUT 2020 Hourly'!$B$1)</f>
        <v>25.326054584198321</v>
      </c>
      <c r="R62" s="21">
        <f>('FREEVAL INPUT 2020 Hourly'!R62)*(1+$B$4)^($B$1-'FREEVAL INPUT 2020 Hourly'!$B$1)</f>
        <v>441.55425601145765</v>
      </c>
    </row>
    <row r="63" spans="1:18" x14ac:dyDescent="0.25">
      <c r="B63" s="167" t="s">
        <v>235</v>
      </c>
      <c r="C63" s="167"/>
      <c r="D63" s="167"/>
      <c r="E63" s="167"/>
      <c r="F63" s="167"/>
      <c r="G63" s="167"/>
      <c r="H63" s="167"/>
    </row>
    <row r="64" spans="1:18" x14ac:dyDescent="0.25">
      <c r="B64" s="78"/>
      <c r="C64" s="22" t="s">
        <v>255</v>
      </c>
    </row>
    <row r="65" spans="1:3" s="81" customFormat="1" x14ac:dyDescent="0.25">
      <c r="A65" s="79"/>
      <c r="B65" s="95"/>
      <c r="C65" s="80" t="s">
        <v>257</v>
      </c>
    </row>
  </sheetData>
  <mergeCells count="2">
    <mergeCell ref="B31:H31"/>
    <mergeCell ref="B63:H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5"/>
  <sheetViews>
    <sheetView zoomScale="55" zoomScaleNormal="55" workbookViewId="0">
      <selection activeCell="H57" sqref="H57"/>
    </sheetView>
  </sheetViews>
  <sheetFormatPr defaultRowHeight="15" x14ac:dyDescent="0.25"/>
  <cols>
    <col min="1" max="1" width="2" style="77" bestFit="1" customWidth="1"/>
    <col min="2" max="2" width="23.85546875" bestFit="1" customWidth="1"/>
    <col min="3" max="3" width="17.7109375" bestFit="1" customWidth="1"/>
    <col min="4" max="4" width="36.7109375" bestFit="1" customWidth="1"/>
    <col min="5" max="5" width="32.85546875" bestFit="1" customWidth="1"/>
    <col min="6" max="6" width="45.85546875" bestFit="1" customWidth="1"/>
    <col min="7" max="7" width="36.7109375" bestFit="1" customWidth="1"/>
    <col min="8" max="8" width="33" bestFit="1" customWidth="1"/>
    <col min="9" max="9" width="40.140625" bestFit="1" customWidth="1"/>
    <col min="10" max="10" width="32.85546875" bestFit="1" customWidth="1"/>
    <col min="11" max="11" width="35.7109375" bestFit="1" customWidth="1"/>
    <col min="12" max="12" width="23.42578125" bestFit="1" customWidth="1"/>
    <col min="13" max="13" width="31.7109375" bestFit="1" customWidth="1"/>
    <col min="14" max="14" width="23.42578125" bestFit="1" customWidth="1"/>
    <col min="15" max="15" width="35.7109375" bestFit="1" customWidth="1"/>
    <col min="16" max="16" width="32.85546875" bestFit="1" customWidth="1"/>
    <col min="17" max="17" width="40.140625" bestFit="1" customWidth="1"/>
    <col min="18" max="18" width="36.28515625" bestFit="1" customWidth="1"/>
    <col min="19" max="19" width="36.7109375" bestFit="1" customWidth="1"/>
  </cols>
  <sheetData>
    <row r="1" spans="1:19" x14ac:dyDescent="0.25">
      <c r="B1" s="14">
        <v>2045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B2" t="s">
        <v>39</v>
      </c>
      <c r="C2" s="16"/>
      <c r="D2" s="17">
        <v>1</v>
      </c>
      <c r="E2" s="17">
        <v>2</v>
      </c>
      <c r="F2" s="17">
        <v>3</v>
      </c>
      <c r="G2" s="17">
        <v>4</v>
      </c>
      <c r="H2" s="17">
        <v>5</v>
      </c>
      <c r="I2" s="17">
        <v>6</v>
      </c>
      <c r="J2" s="17">
        <v>7</v>
      </c>
      <c r="K2" s="17">
        <v>8</v>
      </c>
      <c r="L2" s="17">
        <v>9</v>
      </c>
      <c r="M2" s="17">
        <v>10</v>
      </c>
      <c r="N2" s="17">
        <v>11</v>
      </c>
      <c r="O2" s="17">
        <v>12</v>
      </c>
      <c r="P2" s="17">
        <v>13</v>
      </c>
      <c r="Q2" s="17">
        <v>14</v>
      </c>
      <c r="R2" s="17">
        <v>15</v>
      </c>
      <c r="S2" s="17">
        <v>16</v>
      </c>
    </row>
    <row r="3" spans="1:19" x14ac:dyDescent="0.25">
      <c r="B3" s="75" t="s">
        <v>212</v>
      </c>
      <c r="C3" s="16" t="s">
        <v>203</v>
      </c>
      <c r="D3" s="16" t="s">
        <v>252</v>
      </c>
      <c r="E3" s="94" t="s">
        <v>251</v>
      </c>
      <c r="F3" s="16" t="s">
        <v>250</v>
      </c>
      <c r="G3" s="17" t="s">
        <v>189</v>
      </c>
      <c r="H3" s="17" t="s">
        <v>190</v>
      </c>
      <c r="I3" s="17" t="s">
        <v>191</v>
      </c>
      <c r="J3" s="17" t="s">
        <v>192</v>
      </c>
      <c r="K3" s="17" t="s">
        <v>193</v>
      </c>
      <c r="L3" s="17" t="s">
        <v>194</v>
      </c>
      <c r="M3" s="17" t="s">
        <v>195</v>
      </c>
      <c r="N3" s="17" t="s">
        <v>196</v>
      </c>
      <c r="O3" s="17" t="s">
        <v>197</v>
      </c>
      <c r="P3" s="17" t="s">
        <v>198</v>
      </c>
      <c r="Q3" s="17" t="s">
        <v>199</v>
      </c>
      <c r="R3" s="17" t="s">
        <v>200</v>
      </c>
      <c r="S3" s="17" t="s">
        <v>201</v>
      </c>
    </row>
    <row r="4" spans="1:19" x14ac:dyDescent="0.25">
      <c r="B4" s="76">
        <f>'Rate Calculations &amp; PHF'!Z19</f>
        <v>1.09E-2</v>
      </c>
      <c r="C4" s="16" t="s">
        <v>6</v>
      </c>
      <c r="D4" s="16"/>
      <c r="E4" s="16"/>
      <c r="F4" s="16"/>
      <c r="G4" s="17"/>
      <c r="H4" s="17" t="s">
        <v>9</v>
      </c>
      <c r="I4" s="17"/>
      <c r="J4" s="17" t="s">
        <v>13</v>
      </c>
      <c r="K4" s="17"/>
      <c r="L4" s="42" t="s">
        <v>17</v>
      </c>
      <c r="N4" s="17" t="s">
        <v>21</v>
      </c>
      <c r="O4" s="17" t="s">
        <v>24</v>
      </c>
      <c r="P4" s="17" t="s">
        <v>27</v>
      </c>
      <c r="Q4" s="17"/>
      <c r="R4" s="17" t="s">
        <v>31</v>
      </c>
    </row>
    <row r="5" spans="1:19" x14ac:dyDescent="0.25">
      <c r="B5" s="17"/>
      <c r="C5" s="16" t="s">
        <v>202</v>
      </c>
      <c r="D5" s="17" t="s">
        <v>40</v>
      </c>
      <c r="E5" s="17" t="s">
        <v>42</v>
      </c>
      <c r="F5" s="17" t="s">
        <v>40</v>
      </c>
      <c r="G5" s="17" t="s">
        <v>40</v>
      </c>
      <c r="H5" s="17" t="s">
        <v>41</v>
      </c>
      <c r="I5" s="17" t="s">
        <v>40</v>
      </c>
      <c r="J5" s="17" t="s">
        <v>42</v>
      </c>
      <c r="K5" s="17" t="s">
        <v>40</v>
      </c>
      <c r="L5" s="17" t="s">
        <v>41</v>
      </c>
      <c r="M5" s="17" t="s">
        <v>40</v>
      </c>
      <c r="N5" s="17" t="s">
        <v>42</v>
      </c>
      <c r="O5" s="17" t="s">
        <v>40</v>
      </c>
      <c r="P5" s="17" t="s">
        <v>41</v>
      </c>
      <c r="Q5" s="17" t="s">
        <v>40</v>
      </c>
      <c r="R5" s="17" t="s">
        <v>42</v>
      </c>
      <c r="S5" s="17" t="s">
        <v>40</v>
      </c>
    </row>
    <row r="6" spans="1:19" x14ac:dyDescent="0.25">
      <c r="B6" s="17"/>
      <c r="C6" s="18"/>
      <c r="D6" s="18"/>
      <c r="E6" s="1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B7" s="38">
        <f>SUM(G7:S7)</f>
        <v>3048.426245871116</v>
      </c>
      <c r="C7" s="20">
        <v>0</v>
      </c>
      <c r="D7" s="21">
        <f>('FREEVAL INPUT 2020 Hourly'!D7)*(1+$B$4)^($B$1-'FREEVAL INPUT 2020 Hourly'!$B$1)</f>
        <v>560.48552251000331</v>
      </c>
      <c r="E7" s="113">
        <f>('FREEVAL INPUT 2020 Hourly'!E7)*(1+$B$4)^($B$1-'FREEVAL INPUT 2020 Hourly'!$B$1)</f>
        <v>22.363512120099884</v>
      </c>
      <c r="F7" s="21">
        <f>('FREEVAL INPUT 2020 Hourly'!F7)*(1+$B$4)^($B$1-'FREEVAL INPUT 2020 Hourly'!$B$1)</f>
        <v>582.84903463010323</v>
      </c>
      <c r="G7" s="21">
        <f>('FREEVAL INPUT 2020 Hourly'!G7)*(1+$B$4)^($B$1-'FREEVAL INPUT 2020 Hourly'!$B$1)</f>
        <v>582.84903463010323</v>
      </c>
      <c r="H7" s="21">
        <f>('FREEVAL INPUT 2020 Hourly'!H7)*(1+$B$4)^($B$1-'FREEVAL INPUT 2020 Hourly'!$B$1)</f>
        <v>152.35142631818047</v>
      </c>
      <c r="I7" s="21">
        <f>('FREEVAL INPUT 2020 Hourly'!I7)*(1+$B$4)^($B$1-'FREEVAL INPUT 2020 Hourly'!$B$1)</f>
        <v>430.49760831192276</v>
      </c>
      <c r="J7" s="21">
        <f>('FREEVAL INPUT 2020 Hourly'!J7)*(1+$B$4)^($B$1-'FREEVAL INPUT 2020 Hourly'!$B$1)</f>
        <v>19.5680731050874</v>
      </c>
      <c r="K7" s="21">
        <f>('FREEVAL INPUT 2020 Hourly'!K7)*(1+$B$4)^($B$1-'FREEVAL INPUT 2020 Hourly'!$B$1)</f>
        <v>450.06568141701013</v>
      </c>
      <c r="L7" s="21">
        <f>('FREEVAL INPUT 2020 Hourly'!L7)*(1+$B$4)^($B$1-'FREEVAL INPUT 2020 Hourly'!$B$1)</f>
        <v>174.71493843828037</v>
      </c>
      <c r="M7" s="21">
        <f>('FREEVAL INPUT 2020 Hourly'!M7)*(1+$B$4)^($B$1-'FREEVAL INPUT 2020 Hourly'!$B$1)</f>
        <v>275.35074297872984</v>
      </c>
      <c r="N7" s="21">
        <f>('FREEVAL INPUT 2020 Hourly'!N7)*(1+$B$4)^($B$1-'FREEVAL INPUT 2020 Hourly'!$B$1)</f>
        <v>32.14754867264358</v>
      </c>
      <c r="O7" s="21">
        <f>('FREEVAL INPUT 2020 Hourly'!O7)*(1+$B$4)^($B$1-'FREEVAL INPUT 2020 Hourly'!$B$1)</f>
        <v>307.49829165137339</v>
      </c>
      <c r="P7" s="21">
        <f>('FREEVAL INPUT 2020 Hourly'!P7)*(1+$B$4)^($B$1-'FREEVAL INPUT 2020 Hourly'!$B$1)</f>
        <v>19.5680731050874</v>
      </c>
      <c r="Q7" s="21">
        <f>('FREEVAL INPUT 2020 Hourly'!Q7)*(1+$B$4)^($B$1-'FREEVAL INPUT 2020 Hourly'!$B$1)</f>
        <v>287.93021854628603</v>
      </c>
      <c r="R7" s="21">
        <f>('FREEVAL INPUT 2020 Hourly'!R7)*(1+$B$4)^($B$1-'FREEVAL INPUT 2020 Hourly'!$B$1)</f>
        <v>13.977195075062427</v>
      </c>
      <c r="S7" s="21">
        <f>('FREEVAL INPUT 2020 Hourly'!S7)*(1+$B$4)^($B$1-'FREEVAL INPUT 2020 Hourly'!$B$1)</f>
        <v>301.90741362134844</v>
      </c>
    </row>
    <row r="8" spans="1:19" x14ac:dyDescent="0.25">
      <c r="B8" s="38">
        <f t="shared" ref="B8:B30" si="0">SUM(G8:S8)</f>
        <v>2471.1680892710365</v>
      </c>
      <c r="C8" s="20">
        <v>4.1666666666666664E-2</v>
      </c>
      <c r="D8" s="21">
        <f>('FREEVAL INPUT 2020 Hourly'!D8)*(1+$B$4)^($B$1-'FREEVAL INPUT 2020 Hourly'!$B$1)</f>
        <v>438.88392535696022</v>
      </c>
      <c r="E8" s="113">
        <f>('FREEVAL INPUT 2020 Hourly'!E8)*(1+$B$4)^($B$1-'FREEVAL INPUT 2020 Hourly'!$B$1)</f>
        <v>18.170353597581155</v>
      </c>
      <c r="F8" s="21">
        <f>('FREEVAL INPUT 2020 Hourly'!F8)*(1+$B$4)^($B$1-'FREEVAL INPUT 2020 Hourly'!$B$1)</f>
        <v>457.05427895454142</v>
      </c>
      <c r="G8" s="21">
        <f>('FREEVAL INPUT 2020 Hourly'!G8)*(1+$B$4)^($B$1-'FREEVAL INPUT 2020 Hourly'!$B$1)</f>
        <v>457.05427895454142</v>
      </c>
      <c r="H8" s="21">
        <f>('FREEVAL INPUT 2020 Hourly'!H8)*(1+$B$4)^($B$1-'FREEVAL INPUT 2020 Hourly'!$B$1)</f>
        <v>113.21528010800566</v>
      </c>
      <c r="I8" s="21">
        <f>('FREEVAL INPUT 2020 Hourly'!I8)*(1+$B$4)^($B$1-'FREEVAL INPUT 2020 Hourly'!$B$1)</f>
        <v>343.83899884653573</v>
      </c>
      <c r="J8" s="21">
        <f>('FREEVAL INPUT 2020 Hourly'!J8)*(1+$B$4)^($B$1-'FREEVAL INPUT 2020 Hourly'!$B$1)</f>
        <v>22.363512120099884</v>
      </c>
      <c r="K8" s="21">
        <f>('FREEVAL INPUT 2020 Hourly'!K8)*(1+$B$4)^($B$1-'FREEVAL INPUT 2020 Hourly'!$B$1)</f>
        <v>366.20251096663554</v>
      </c>
      <c r="L8" s="21">
        <f>('FREEVAL INPUT 2020 Hourly'!L8)*(1+$B$4)^($B$1-'FREEVAL INPUT 2020 Hourly'!$B$1)</f>
        <v>136.97651173561178</v>
      </c>
      <c r="M8" s="21">
        <f>('FREEVAL INPUT 2020 Hourly'!M8)*(1+$B$4)^($B$1-'FREEVAL INPUT 2020 Hourly'!$B$1)</f>
        <v>229.22599923102382</v>
      </c>
      <c r="N8" s="21">
        <f>('FREEVAL INPUT 2020 Hourly'!N8)*(1+$B$4)^($B$1-'FREEVAL INPUT 2020 Hourly'!$B$1)</f>
        <v>25.158951135112368</v>
      </c>
      <c r="O8" s="21">
        <f>('FREEVAL INPUT 2020 Hourly'!O8)*(1+$B$4)^($B$1-'FREEVAL INPUT 2020 Hourly'!$B$1)</f>
        <v>254.38495036613617</v>
      </c>
      <c r="P8" s="21">
        <f>('FREEVAL INPUT 2020 Hourly'!P8)*(1+$B$4)^($B$1-'FREEVAL INPUT 2020 Hourly'!$B$1)</f>
        <v>2.7954390150124855</v>
      </c>
      <c r="Q8" s="21">
        <f>('FREEVAL INPUT 2020 Hourly'!Q8)*(1+$B$4)^($B$1-'FREEVAL INPUT 2020 Hourly'!$B$1)</f>
        <v>251.58951135112369</v>
      </c>
      <c r="R8" s="21">
        <f>('FREEVAL INPUT 2020 Hourly'!R8)*(1+$B$4)^($B$1-'FREEVAL INPUT 2020 Hourly'!$B$1)</f>
        <v>8.3863170450374565</v>
      </c>
      <c r="S8" s="21">
        <f>('FREEVAL INPUT 2020 Hourly'!S8)*(1+$B$4)^($B$1-'FREEVAL INPUT 2020 Hourly'!$B$1)</f>
        <v>259.97582839616115</v>
      </c>
    </row>
    <row r="9" spans="1:19" x14ac:dyDescent="0.25">
      <c r="B9" s="38">
        <f t="shared" si="0"/>
        <v>1948.4209934637029</v>
      </c>
      <c r="C9" s="20">
        <v>8.3333333333333301E-2</v>
      </c>
      <c r="D9" s="21">
        <f>('FREEVAL INPUT 2020 Hourly'!D9)*(1+$B$4)^($B$1-'FREEVAL INPUT 2020 Hourly'!$B$1)</f>
        <v>306.10057214386717</v>
      </c>
      <c r="E9" s="113">
        <f>('FREEVAL INPUT 2020 Hourly'!E9)*(1+$B$4)^($B$1-'FREEVAL INPUT 2020 Hourly'!$B$1)</f>
        <v>15.374914582568669</v>
      </c>
      <c r="F9" s="21">
        <f>('FREEVAL INPUT 2020 Hourly'!F9)*(1+$B$4)^($B$1-'FREEVAL INPUT 2020 Hourly'!$B$1)</f>
        <v>321.47548672643586</v>
      </c>
      <c r="G9" s="21">
        <f>('FREEVAL INPUT 2020 Hourly'!G9)*(1+$B$4)^($B$1-'FREEVAL INPUT 2020 Hourly'!$B$1)</f>
        <v>321.47548672643586</v>
      </c>
      <c r="H9" s="21">
        <f>('FREEVAL INPUT 2020 Hourly'!H9)*(1+$B$4)^($B$1-'FREEVAL INPUT 2020 Hourly'!$B$1)</f>
        <v>68.48825586780589</v>
      </c>
      <c r="I9" s="21">
        <f>('FREEVAL INPUT 2020 Hourly'!I9)*(1+$B$4)^($B$1-'FREEVAL INPUT 2020 Hourly'!$B$1)</f>
        <v>252.98723085862991</v>
      </c>
      <c r="J9" s="21">
        <f>('FREEVAL INPUT 2020 Hourly'!J9)*(1+$B$4)^($B$1-'FREEVAL INPUT 2020 Hourly'!$B$1)</f>
        <v>25.158951135112368</v>
      </c>
      <c r="K9" s="21">
        <f>('FREEVAL INPUT 2020 Hourly'!K9)*(1+$B$4)^($B$1-'FREEVAL INPUT 2020 Hourly'!$B$1)</f>
        <v>278.14618199374229</v>
      </c>
      <c r="L9" s="21">
        <f>('FREEVAL INPUT 2020 Hourly'!L9)*(1+$B$4)^($B$1-'FREEVAL INPUT 2020 Hourly'!$B$1)</f>
        <v>61.499658330274677</v>
      </c>
      <c r="M9" s="21">
        <f>('FREEVAL INPUT 2020 Hourly'!M9)*(1+$B$4)^($B$1-'FREEVAL INPUT 2020 Hourly'!$B$1)</f>
        <v>216.6465236634676</v>
      </c>
      <c r="N9" s="21">
        <f>('FREEVAL INPUT 2020 Hourly'!N9)*(1+$B$4)^($B$1-'FREEVAL INPUT 2020 Hourly'!$B$1)</f>
        <v>19.5680731050874</v>
      </c>
      <c r="O9" s="21">
        <f>('FREEVAL INPUT 2020 Hourly'!O9)*(1+$B$4)^($B$1-'FREEVAL INPUT 2020 Hourly'!$B$1)</f>
        <v>236.21459676855503</v>
      </c>
      <c r="P9" s="21">
        <f>('FREEVAL INPUT 2020 Hourly'!P9)*(1+$B$4)^($B$1-'FREEVAL INPUT 2020 Hourly'!$B$1)</f>
        <v>9.7840365525437001</v>
      </c>
      <c r="Q9" s="21">
        <f>('FREEVAL INPUT 2020 Hourly'!Q9)*(1+$B$4)^($B$1-'FREEVAL INPUT 2020 Hourly'!$B$1)</f>
        <v>226.43056021601132</v>
      </c>
      <c r="R9" s="21">
        <f>('FREEVAL INPUT 2020 Hourly'!R9)*(1+$B$4)^($B$1-'FREEVAL INPUT 2020 Hourly'!$B$1)</f>
        <v>2.7954390150124855</v>
      </c>
      <c r="S9" s="21">
        <f>('FREEVAL INPUT 2020 Hourly'!S9)*(1+$B$4)^($B$1-'FREEVAL INPUT 2020 Hourly'!$B$1)</f>
        <v>229.22599923102382</v>
      </c>
    </row>
    <row r="10" spans="1:19" x14ac:dyDescent="0.25">
      <c r="B10" s="38">
        <f t="shared" si="0"/>
        <v>2165.06751712717</v>
      </c>
      <c r="C10" s="20">
        <v>0.125</v>
      </c>
      <c r="D10" s="21">
        <f>('FREEVAL INPUT 2020 Hourly'!D10)*(1+$B$4)^($B$1-'FREEVAL INPUT 2020 Hourly'!$B$1)</f>
        <v>366.20251096663554</v>
      </c>
      <c r="E10" s="113">
        <f>('FREEVAL INPUT 2020 Hourly'!E10)*(1+$B$4)^($B$1-'FREEVAL INPUT 2020 Hourly'!$B$1)</f>
        <v>18.170353597581155</v>
      </c>
      <c r="F10" s="21">
        <f>('FREEVAL INPUT 2020 Hourly'!F10)*(1+$B$4)^($B$1-'FREEVAL INPUT 2020 Hourly'!$B$1)</f>
        <v>384.37286456421674</v>
      </c>
      <c r="G10" s="21">
        <f>('FREEVAL INPUT 2020 Hourly'!G10)*(1+$B$4)^($B$1-'FREEVAL INPUT 2020 Hourly'!$B$1)</f>
        <v>384.37286456421674</v>
      </c>
      <c r="H10" s="21">
        <f>('FREEVAL INPUT 2020 Hourly'!H10)*(1+$B$4)^($B$1-'FREEVAL INPUT 2020 Hourly'!$B$1)</f>
        <v>102.03352404795572</v>
      </c>
      <c r="I10" s="21">
        <f>('FREEVAL INPUT 2020 Hourly'!I10)*(1+$B$4)^($B$1-'FREEVAL INPUT 2020 Hourly'!$B$1)</f>
        <v>282.33934051626102</v>
      </c>
      <c r="J10" s="21">
        <f>('FREEVAL INPUT 2020 Hourly'!J10)*(1+$B$4)^($B$1-'FREEVAL INPUT 2020 Hourly'!$B$1)</f>
        <v>23.761231627606129</v>
      </c>
      <c r="K10" s="21">
        <f>('FREEVAL INPUT 2020 Hourly'!K10)*(1+$B$4)^($B$1-'FREEVAL INPUT 2020 Hourly'!$B$1)</f>
        <v>306.10057214386717</v>
      </c>
      <c r="L10" s="21">
        <f>('FREEVAL INPUT 2020 Hourly'!L10)*(1+$B$4)^($B$1-'FREEVAL INPUT 2020 Hourly'!$B$1)</f>
        <v>81.067731435362077</v>
      </c>
      <c r="M10" s="21">
        <f>('FREEVAL INPUT 2020 Hourly'!M10)*(1+$B$4)^($B$1-'FREEVAL INPUT 2020 Hourly'!$B$1)</f>
        <v>225.03284070850506</v>
      </c>
      <c r="N10" s="21">
        <f>('FREEVAL INPUT 2020 Hourly'!N10)*(1+$B$4)^($B$1-'FREEVAL INPUT 2020 Hourly'!$B$1)</f>
        <v>19.5680731050874</v>
      </c>
      <c r="O10" s="21">
        <f>('FREEVAL INPUT 2020 Hourly'!O10)*(1+$B$4)^($B$1-'FREEVAL INPUT 2020 Hourly'!$B$1)</f>
        <v>244.60091381359248</v>
      </c>
      <c r="P10" s="21">
        <f>('FREEVAL INPUT 2020 Hourly'!P10)*(1+$B$4)^($B$1-'FREEVAL INPUT 2020 Hourly'!$B$1)</f>
        <v>4.1931585225187282</v>
      </c>
      <c r="Q10" s="21">
        <f>('FREEVAL INPUT 2020 Hourly'!Q10)*(1+$B$4)^($B$1-'FREEVAL INPUT 2020 Hourly'!$B$1)</f>
        <v>240.40775529107376</v>
      </c>
      <c r="R10" s="21">
        <f>('FREEVAL INPUT 2020 Hourly'!R10)*(1+$B$4)^($B$1-'FREEVAL INPUT 2020 Hourly'!$B$1)</f>
        <v>5.590878030024971</v>
      </c>
      <c r="S10" s="21">
        <f>('FREEVAL INPUT 2020 Hourly'!S10)*(1+$B$4)^($B$1-'FREEVAL INPUT 2020 Hourly'!$B$1)</f>
        <v>245.99863332109871</v>
      </c>
    </row>
    <row r="11" spans="1:19" x14ac:dyDescent="0.25">
      <c r="B11" s="38">
        <f t="shared" si="0"/>
        <v>2785.6549784599415</v>
      </c>
      <c r="C11" s="20">
        <v>0.16666666666666699</v>
      </c>
      <c r="D11" s="21">
        <f>('FREEVAL INPUT 2020 Hourly'!D11)*(1+$B$4)^($B$1-'FREEVAL INPUT 2020 Hourly'!$B$1)</f>
        <v>444.47480338698517</v>
      </c>
      <c r="E11" s="113">
        <f>('FREEVAL INPUT 2020 Hourly'!E11)*(1+$B$4)^($B$1-'FREEVAL INPUT 2020 Hourly'!$B$1)</f>
        <v>25.158951135112368</v>
      </c>
      <c r="F11" s="21">
        <f>('FREEVAL INPUT 2020 Hourly'!F11)*(1+$B$4)^($B$1-'FREEVAL INPUT 2020 Hourly'!$B$1)</f>
        <v>469.63375452209755</v>
      </c>
      <c r="G11" s="21">
        <f>('FREEVAL INPUT 2020 Hourly'!G11)*(1+$B$4)^($B$1-'FREEVAL INPUT 2020 Hourly'!$B$1)</f>
        <v>469.63375452209755</v>
      </c>
      <c r="H11" s="21">
        <f>('FREEVAL INPUT 2020 Hourly'!H11)*(1+$B$4)^($B$1-'FREEVAL INPUT 2020 Hourly'!$B$1)</f>
        <v>113.21528010800566</v>
      </c>
      <c r="I11" s="21">
        <f>('FREEVAL INPUT 2020 Hourly'!I11)*(1+$B$4)^($B$1-'FREEVAL INPUT 2020 Hourly'!$B$1)</f>
        <v>356.41847441409186</v>
      </c>
      <c r="J11" s="21">
        <f>('FREEVAL INPUT 2020 Hourly'!J11)*(1+$B$4)^($B$1-'FREEVAL INPUT 2020 Hourly'!$B$1)</f>
        <v>32.14754867264358</v>
      </c>
      <c r="K11" s="21">
        <f>('FREEVAL INPUT 2020 Hourly'!K11)*(1+$B$4)^($B$1-'FREEVAL INPUT 2020 Hourly'!$B$1)</f>
        <v>388.56602308673547</v>
      </c>
      <c r="L11" s="21">
        <f>('FREEVAL INPUT 2020 Hourly'!L11)*(1+$B$4)^($B$1-'FREEVAL INPUT 2020 Hourly'!$B$1)</f>
        <v>100.63580454044947</v>
      </c>
      <c r="M11" s="21">
        <f>('FREEVAL INPUT 2020 Hourly'!M11)*(1+$B$4)^($B$1-'FREEVAL INPUT 2020 Hourly'!$B$1)</f>
        <v>287.93021854628603</v>
      </c>
      <c r="N11" s="21">
        <f>('FREEVAL INPUT 2020 Hourly'!N11)*(1+$B$4)^($B$1-'FREEVAL INPUT 2020 Hourly'!$B$1)</f>
        <v>36.34070719516231</v>
      </c>
      <c r="O11" s="21">
        <f>('FREEVAL INPUT 2020 Hourly'!O11)*(1+$B$4)^($B$1-'FREEVAL INPUT 2020 Hourly'!$B$1)</f>
        <v>324.27092574144831</v>
      </c>
      <c r="P11" s="21">
        <f>('FREEVAL INPUT 2020 Hourly'!P11)*(1+$B$4)^($B$1-'FREEVAL INPUT 2020 Hourly'!$B$1)</f>
        <v>8.3863170450374565</v>
      </c>
      <c r="Q11" s="21">
        <f>('FREEVAL INPUT 2020 Hourly'!Q11)*(1+$B$4)^($B$1-'FREEVAL INPUT 2020 Hourly'!$B$1)</f>
        <v>315.88460869641085</v>
      </c>
      <c r="R11" s="21">
        <f>('FREEVAL INPUT 2020 Hourly'!R11)*(1+$B$4)^($B$1-'FREEVAL INPUT 2020 Hourly'!$B$1)</f>
        <v>18.170353597581155</v>
      </c>
      <c r="S11" s="21">
        <f>('FREEVAL INPUT 2020 Hourly'!S11)*(1+$B$4)^($B$1-'FREEVAL INPUT 2020 Hourly'!$B$1)</f>
        <v>334.05496229399199</v>
      </c>
    </row>
    <row r="12" spans="1:19" x14ac:dyDescent="0.25">
      <c r="B12" s="38">
        <f t="shared" si="0"/>
        <v>4963.3019711546685</v>
      </c>
      <c r="C12" s="20">
        <v>0.20833333333333301</v>
      </c>
      <c r="D12" s="21">
        <f>('FREEVAL INPUT 2020 Hourly'!D12)*(1+$B$4)^($B$1-'FREEVAL INPUT 2020 Hourly'!$B$1)</f>
        <v>830.24538745870814</v>
      </c>
      <c r="E12" s="113">
        <f>('FREEVAL INPUT 2020 Hourly'!E12)*(1+$B$4)^($B$1-'FREEVAL INPUT 2020 Hourly'!$B$1)</f>
        <v>27.954390150124855</v>
      </c>
      <c r="F12" s="21">
        <f>('FREEVAL INPUT 2020 Hourly'!F12)*(1+$B$4)^($B$1-'FREEVAL INPUT 2020 Hourly'!$B$1)</f>
        <v>858.19977760883296</v>
      </c>
      <c r="G12" s="21">
        <f>('FREEVAL INPUT 2020 Hourly'!G12)*(1+$B$4)^($B$1-'FREEVAL INPUT 2020 Hourly'!$B$1)</f>
        <v>858.19977760883296</v>
      </c>
      <c r="H12" s="21">
        <f>('FREEVAL INPUT 2020 Hourly'!H12)*(1+$B$4)^($B$1-'FREEVAL INPUT 2020 Hourly'!$B$1)</f>
        <v>199.87388957339269</v>
      </c>
      <c r="I12" s="21">
        <f>('FREEVAL INPUT 2020 Hourly'!I12)*(1+$B$4)^($B$1-'FREEVAL INPUT 2020 Hourly'!$B$1)</f>
        <v>658.32588803544036</v>
      </c>
      <c r="J12" s="21">
        <f>('FREEVAL INPUT 2020 Hourly'!J12)*(1+$B$4)^($B$1-'FREEVAL INPUT 2020 Hourly'!$B$1)</f>
        <v>47.522463255212259</v>
      </c>
      <c r="K12" s="21">
        <f>('FREEVAL INPUT 2020 Hourly'!K12)*(1+$B$4)^($B$1-'FREEVAL INPUT 2020 Hourly'!$B$1)</f>
        <v>705.84835129065254</v>
      </c>
      <c r="L12" s="21">
        <f>('FREEVAL INPUT 2020 Hourly'!L12)*(1+$B$4)^($B$1-'FREEVAL INPUT 2020 Hourly'!$B$1)</f>
        <v>219.44196267848011</v>
      </c>
      <c r="M12" s="21">
        <f>('FREEVAL INPUT 2020 Hourly'!M12)*(1+$B$4)^($B$1-'FREEVAL INPUT 2020 Hourly'!$B$1)</f>
        <v>486.40638861217246</v>
      </c>
      <c r="N12" s="21">
        <f>('FREEVAL INPUT 2020 Hourly'!N12)*(1+$B$4)^($B$1-'FREEVAL INPUT 2020 Hourly'!$B$1)</f>
        <v>67.090536360299652</v>
      </c>
      <c r="O12" s="21">
        <f>('FREEVAL INPUT 2020 Hourly'!O12)*(1+$B$4)^($B$1-'FREEVAL INPUT 2020 Hourly'!$B$1)</f>
        <v>553.49692497247213</v>
      </c>
      <c r="P12" s="21">
        <f>('FREEVAL INPUT 2020 Hourly'!P12)*(1+$B$4)^($B$1-'FREEVAL INPUT 2020 Hourly'!$B$1)</f>
        <v>18.170353597581155</v>
      </c>
      <c r="Q12" s="21">
        <f>('FREEVAL INPUT 2020 Hourly'!Q12)*(1+$B$4)^($B$1-'FREEVAL INPUT 2020 Hourly'!$B$1)</f>
        <v>535.32657137489105</v>
      </c>
      <c r="R12" s="21">
        <f>('FREEVAL INPUT 2020 Hourly'!R12)*(1+$B$4)^($B$1-'FREEVAL INPUT 2020 Hourly'!$B$1)</f>
        <v>39.1361462101748</v>
      </c>
      <c r="S12" s="21">
        <f>('FREEVAL INPUT 2020 Hourly'!S12)*(1+$B$4)^($B$1-'FREEVAL INPUT 2020 Hourly'!$B$1)</f>
        <v>574.46271758506577</v>
      </c>
    </row>
    <row r="13" spans="1:19" s="52" customFormat="1" x14ac:dyDescent="0.25">
      <c r="B13" s="38">
        <f t="shared" si="0"/>
        <v>10303.988209336021</v>
      </c>
      <c r="C13" s="50">
        <v>0.25</v>
      </c>
      <c r="D13" s="21">
        <f>('FREEVAL INPUT 2020 Hourly'!D13)*(1+$B$4)^($B$1-'FREEVAL INPUT 2020 Hourly'!$B$1)</f>
        <v>1768.1151769953972</v>
      </c>
      <c r="E13" s="113">
        <f>('FREEVAL INPUT 2020 Hourly'!E13)*(1+$B$4)^($B$1-'FREEVAL INPUT 2020 Hourly'!$B$1)</f>
        <v>41.931585225187284</v>
      </c>
      <c r="F13" s="21">
        <f>('FREEVAL INPUT 2020 Hourly'!F13)*(1+$B$4)^($B$1-'FREEVAL INPUT 2020 Hourly'!$B$1)</f>
        <v>1810.0467622205845</v>
      </c>
      <c r="G13" s="21">
        <f>('FREEVAL INPUT 2020 Hourly'!G13)*(1+$B$4)^($B$1-'FREEVAL INPUT 2020 Hourly'!$B$1)</f>
        <v>1810.0467622205845</v>
      </c>
      <c r="H13" s="21">
        <f>('FREEVAL INPUT 2020 Hourly'!H13)*(1+$B$4)^($B$1-'FREEVAL INPUT 2020 Hourly'!$B$1)</f>
        <v>515.75849826980357</v>
      </c>
      <c r="I13" s="21">
        <f>('FREEVAL INPUT 2020 Hourly'!I13)*(1+$B$4)^($B$1-'FREEVAL INPUT 2020 Hourly'!$B$1)</f>
        <v>1294.2882639507807</v>
      </c>
      <c r="J13" s="21">
        <f>('FREEVAL INPUT 2020 Hourly'!J13)*(1+$B$4)^($B$1-'FREEVAL INPUT 2020 Hourly'!$B$1)</f>
        <v>107.62440207798069</v>
      </c>
      <c r="K13" s="21">
        <f>('FREEVAL INPUT 2020 Hourly'!K13)*(1+$B$4)^($B$1-'FREEVAL INPUT 2020 Hourly'!$B$1)</f>
        <v>1401.9126660287614</v>
      </c>
      <c r="L13" s="21">
        <f>('FREEVAL INPUT 2020 Hourly'!L13)*(1+$B$4)^($B$1-'FREEVAL INPUT 2020 Hourly'!$B$1)</f>
        <v>408.13409619182289</v>
      </c>
      <c r="M13" s="21">
        <f>('FREEVAL INPUT 2020 Hourly'!M13)*(1+$B$4)^($B$1-'FREEVAL INPUT 2020 Hourly'!$B$1)</f>
        <v>993.77856983693857</v>
      </c>
      <c r="N13" s="21">
        <f>('FREEVAL INPUT 2020 Hourly'!N13)*(1+$B$4)^($B$1-'FREEVAL INPUT 2020 Hourly'!$B$1)</f>
        <v>157.94230434820543</v>
      </c>
      <c r="O13" s="21">
        <f>('FREEVAL INPUT 2020 Hourly'!O13)*(1+$B$4)^($B$1-'FREEVAL INPUT 2020 Hourly'!$B$1)</f>
        <v>1151.7208741851441</v>
      </c>
      <c r="P13" s="21">
        <f>('FREEVAL INPUT 2020 Hourly'!P13)*(1+$B$4)^($B$1-'FREEVAL INPUT 2020 Hourly'!$B$1)</f>
        <v>53.113341285237226</v>
      </c>
      <c r="Q13" s="21">
        <f>('FREEVAL INPUT 2020 Hourly'!Q13)*(1+$B$4)^($B$1-'FREEVAL INPUT 2020 Hourly'!$B$1)</f>
        <v>1098.6075328999068</v>
      </c>
      <c r="R13" s="21">
        <f>('FREEVAL INPUT 2020 Hourly'!R13)*(1+$B$4)^($B$1-'FREEVAL INPUT 2020 Hourly'!$B$1)</f>
        <v>106.22668257047445</v>
      </c>
      <c r="S13" s="21">
        <f>('FREEVAL INPUT 2020 Hourly'!S13)*(1+$B$4)^($B$1-'FREEVAL INPUT 2020 Hourly'!$B$1)</f>
        <v>1204.8342154703812</v>
      </c>
    </row>
    <row r="14" spans="1:19" s="51" customFormat="1" x14ac:dyDescent="0.25">
      <c r="A14" s="102" t="s">
        <v>242</v>
      </c>
      <c r="B14" s="39">
        <f>SUM(G14:S14)</f>
        <v>12819</v>
      </c>
      <c r="C14" s="40">
        <v>0.29166666666666702</v>
      </c>
      <c r="D14" s="44">
        <v>2238</v>
      </c>
      <c r="E14" s="44">
        <v>65</v>
      </c>
      <c r="F14" s="44">
        <f>D14+E14</f>
        <v>2303</v>
      </c>
      <c r="G14" s="44">
        <f>F14</f>
        <v>2303</v>
      </c>
      <c r="H14" s="44">
        <v>668</v>
      </c>
      <c r="I14" s="44">
        <f>G14-H14</f>
        <v>1635</v>
      </c>
      <c r="J14" s="44">
        <v>130</v>
      </c>
      <c r="K14" s="44">
        <f>I14+J14</f>
        <v>1765</v>
      </c>
      <c r="L14" s="44">
        <v>715</v>
      </c>
      <c r="M14" s="44">
        <f>K14-L14</f>
        <v>1050</v>
      </c>
      <c r="N14" s="44">
        <v>232</v>
      </c>
      <c r="O14" s="44">
        <v>1282</v>
      </c>
      <c r="P14" s="44">
        <v>107</v>
      </c>
      <c r="Q14" s="44">
        <f>O14-P14</f>
        <v>1175</v>
      </c>
      <c r="R14" s="44">
        <v>291</v>
      </c>
      <c r="S14" s="44">
        <f>Q14+R14</f>
        <v>1466</v>
      </c>
    </row>
    <row r="15" spans="1:19" x14ac:dyDescent="0.25">
      <c r="B15" s="38">
        <f t="shared" si="0"/>
        <v>13557.879222810556</v>
      </c>
      <c r="C15" s="20">
        <v>0.33333333333333298</v>
      </c>
      <c r="D15" s="21">
        <f>('FREEVAL INPUT 2020 Hourly'!D15)*(1+$B$4)^($B$1-'FREEVAL INPUT 2020 Hourly'!$B$1)</f>
        <v>2545.247223168868</v>
      </c>
      <c r="E15" s="113">
        <f>('FREEVAL INPUT 2020 Hourly'!E15)*(1+$B$4)^($B$1-'FREEVAL INPUT 2020 Hourly'!$B$1)</f>
        <v>81.067731435362077</v>
      </c>
      <c r="F15" s="21">
        <f>('FREEVAL INPUT 2020 Hourly'!F15)*(1+$B$4)^($B$1-'FREEVAL INPUT 2020 Hourly'!$B$1)</f>
        <v>2626.31495460423</v>
      </c>
      <c r="G15" s="21">
        <f>('FREEVAL INPUT 2020 Hourly'!G15)*(1+$B$4)^($B$1-'FREEVAL INPUT 2020 Hourly'!$B$1)</f>
        <v>2626.31495460423</v>
      </c>
      <c r="H15" s="21">
        <f>('FREEVAL INPUT 2020 Hourly'!H15)*(1+$B$4)^($B$1-'FREEVAL INPUT 2020 Hourly'!$B$1)</f>
        <v>848.41574105628933</v>
      </c>
      <c r="I15" s="21">
        <f>('FREEVAL INPUT 2020 Hourly'!I15)*(1+$B$4)^($B$1-'FREEVAL INPUT 2020 Hourly'!$B$1)</f>
        <v>1777.8992135479407</v>
      </c>
      <c r="J15" s="21">
        <f>('FREEVAL INPUT 2020 Hourly'!J15)*(1+$B$4)^($B$1-'FREEVAL INPUT 2020 Hourly'!$B$1)</f>
        <v>162.13546287072415</v>
      </c>
      <c r="K15" s="21">
        <f>('FREEVAL INPUT 2020 Hourly'!K15)*(1+$B$4)^($B$1-'FREEVAL INPUT 2020 Hourly'!$B$1)</f>
        <v>1940.034676418665</v>
      </c>
      <c r="L15" s="21">
        <f>('FREEVAL INPUT 2020 Hourly'!L15)*(1+$B$4)^($B$1-'FREEVAL INPUT 2020 Hourly'!$B$1)</f>
        <v>854.00661908631434</v>
      </c>
      <c r="M15" s="21">
        <f>('FREEVAL INPUT 2020 Hourly'!M15)*(1+$B$4)^($B$1-'FREEVAL INPUT 2020 Hourly'!$B$1)</f>
        <v>1086.0280573323505</v>
      </c>
      <c r="N15" s="21">
        <f>('FREEVAL INPUT 2020 Hourly'!N15)*(1+$B$4)^($B$1-'FREEVAL INPUT 2020 Hourly'!$B$1)</f>
        <v>212.4533651409489</v>
      </c>
      <c r="O15" s="21">
        <f>('FREEVAL INPUT 2020 Hourly'!O15)*(1+$B$4)^($B$1-'FREEVAL INPUT 2020 Hourly'!$B$1)</f>
        <v>1298.4814224732995</v>
      </c>
      <c r="P15" s="21">
        <f>('FREEVAL INPUT 2020 Hourly'!P15)*(1+$B$4)^($B$1-'FREEVAL INPUT 2020 Hourly'!$B$1)</f>
        <v>76.874572912843348</v>
      </c>
      <c r="Q15" s="21">
        <f>('FREEVAL INPUT 2020 Hourly'!Q15)*(1+$B$4)^($B$1-'FREEVAL INPUT 2020 Hourly'!$B$1)</f>
        <v>1221.6068495604561</v>
      </c>
      <c r="R15" s="21">
        <f>('FREEVAL INPUT 2020 Hourly'!R15)*(1+$B$4)^($B$1-'FREEVAL INPUT 2020 Hourly'!$B$1)</f>
        <v>116.01071912301815</v>
      </c>
      <c r="S15" s="21">
        <f>('FREEVAL INPUT 2020 Hourly'!S15)*(1+$B$4)^($B$1-'FREEVAL INPUT 2020 Hourly'!$B$1)</f>
        <v>1337.6175686834742</v>
      </c>
    </row>
    <row r="16" spans="1:19" x14ac:dyDescent="0.25">
      <c r="B16" s="38">
        <f t="shared" si="0"/>
        <v>14470.59006121213</v>
      </c>
      <c r="C16" s="20">
        <v>0.375</v>
      </c>
      <c r="D16" s="21">
        <f>('FREEVAL INPUT 2020 Hourly'!D16)*(1+$B$4)^($B$1-'FREEVAL INPUT 2020 Hourly'!$B$1)</f>
        <v>2644.4853082018112</v>
      </c>
      <c r="E16" s="113">
        <f>('FREEVAL INPUT 2020 Hourly'!E16)*(1+$B$4)^($B$1-'FREEVAL INPUT 2020 Hourly'!$B$1)</f>
        <v>89.454048480399535</v>
      </c>
      <c r="F16" s="21">
        <f>('FREEVAL INPUT 2020 Hourly'!F16)*(1+$B$4)^($B$1-'FREEVAL INPUT 2020 Hourly'!$B$1)</f>
        <v>2733.9393566822109</v>
      </c>
      <c r="G16" s="21">
        <f>('FREEVAL INPUT 2020 Hourly'!G16)*(1+$B$4)^($B$1-'FREEVAL INPUT 2020 Hourly'!$B$1)</f>
        <v>2733.9393566822109</v>
      </c>
      <c r="H16" s="21">
        <f>('FREEVAL INPUT 2020 Hourly'!H16)*(1+$B$4)^($B$1-'FREEVAL INPUT 2020 Hourly'!$B$1)</f>
        <v>826.05222893618941</v>
      </c>
      <c r="I16" s="21">
        <f>('FREEVAL INPUT 2020 Hourly'!I16)*(1+$B$4)^($B$1-'FREEVAL INPUT 2020 Hourly'!$B$1)</f>
        <v>1907.8871277460212</v>
      </c>
      <c r="J16" s="21">
        <f>('FREEVAL INPUT 2020 Hourly'!J16)*(1+$B$4)^($B$1-'FREEVAL INPUT 2020 Hourly'!$B$1)</f>
        <v>149.55598730316797</v>
      </c>
      <c r="K16" s="21">
        <f>('FREEVAL INPUT 2020 Hourly'!K16)*(1+$B$4)^($B$1-'FREEVAL INPUT 2020 Hourly'!$B$1)</f>
        <v>2057.4431150491891</v>
      </c>
      <c r="L16" s="21">
        <f>('FREEVAL INPUT 2020 Hourly'!L16)*(1+$B$4)^($B$1-'FREEVAL INPUT 2020 Hourly'!$B$1)</f>
        <v>813.47275336863333</v>
      </c>
      <c r="M16" s="21">
        <f>('FREEVAL INPUT 2020 Hourly'!M16)*(1+$B$4)^($B$1-'FREEVAL INPUT 2020 Hourly'!$B$1)</f>
        <v>1243.9703616805559</v>
      </c>
      <c r="N16" s="21">
        <f>('FREEVAL INPUT 2020 Hourly'!N16)*(1+$B$4)^($B$1-'FREEVAL INPUT 2020 Hourly'!$B$1)</f>
        <v>227.82827972351757</v>
      </c>
      <c r="O16" s="21">
        <f>('FREEVAL INPUT 2020 Hourly'!O16)*(1+$B$4)^($B$1-'FREEVAL INPUT 2020 Hourly'!$B$1)</f>
        <v>1471.7986414040736</v>
      </c>
      <c r="P16" s="21">
        <f>('FREEVAL INPUT 2020 Hourly'!P16)*(1+$B$4)^($B$1-'FREEVAL INPUT 2020 Hourly'!$B$1)</f>
        <v>78.272292420349601</v>
      </c>
      <c r="Q16" s="21">
        <f>('FREEVAL INPUT 2020 Hourly'!Q16)*(1+$B$4)^($B$1-'FREEVAL INPUT 2020 Hourly'!$B$1)</f>
        <v>1393.5263489837241</v>
      </c>
      <c r="R16" s="21">
        <f>('FREEVAL INPUT 2020 Hourly'!R16)*(1+$B$4)^($B$1-'FREEVAL INPUT 2020 Hourly'!$B$1)</f>
        <v>86.658609465387059</v>
      </c>
      <c r="S16" s="21">
        <f>('FREEVAL INPUT 2020 Hourly'!S16)*(1+$B$4)^($B$1-'FREEVAL INPUT 2020 Hourly'!$B$1)</f>
        <v>1480.184958449111</v>
      </c>
    </row>
    <row r="17" spans="1:19" x14ac:dyDescent="0.25">
      <c r="B17" s="38">
        <f t="shared" si="0"/>
        <v>15145.688583337647</v>
      </c>
      <c r="C17" s="20">
        <v>0.41666666666666702</v>
      </c>
      <c r="D17" s="21">
        <f>('FREEVAL INPUT 2020 Hourly'!D17)*(1+$B$4)^($B$1-'FREEVAL INPUT 2020 Hourly'!$B$1)</f>
        <v>2710.1781250546046</v>
      </c>
      <c r="E17" s="113">
        <f>('FREEVAL INPUT 2020 Hourly'!E17)*(1+$B$4)^($B$1-'FREEVAL INPUT 2020 Hourly'!$B$1)</f>
        <v>103.43124355546196</v>
      </c>
      <c r="F17" s="21">
        <f>('FREEVAL INPUT 2020 Hourly'!F17)*(1+$B$4)^($B$1-'FREEVAL INPUT 2020 Hourly'!$B$1)</f>
        <v>2813.6093686100667</v>
      </c>
      <c r="G17" s="21">
        <f>('FREEVAL INPUT 2020 Hourly'!G17)*(1+$B$4)^($B$1-'FREEVAL INPUT 2020 Hourly'!$B$1)</f>
        <v>2813.6093686100667</v>
      </c>
      <c r="H17" s="21">
        <f>('FREEVAL INPUT 2020 Hourly'!H17)*(1+$B$4)^($B$1-'FREEVAL INPUT 2020 Hourly'!$B$1)</f>
        <v>788.31380223352096</v>
      </c>
      <c r="I17" s="21">
        <f>('FREEVAL INPUT 2020 Hourly'!I17)*(1+$B$4)^($B$1-'FREEVAL INPUT 2020 Hourly'!$B$1)</f>
        <v>2025.2955663765456</v>
      </c>
      <c r="J17" s="21">
        <f>('FREEVAL INPUT 2020 Hourly'!J17)*(1+$B$4)^($B$1-'FREEVAL INPUT 2020 Hourly'!$B$1)</f>
        <v>149.55598730316797</v>
      </c>
      <c r="K17" s="21">
        <f>('FREEVAL INPUT 2020 Hourly'!K17)*(1+$B$4)^($B$1-'FREEVAL INPUT 2020 Hourly'!$B$1)</f>
        <v>2174.8515536797136</v>
      </c>
      <c r="L17" s="21">
        <f>('FREEVAL INPUT 2020 Hourly'!L17)*(1+$B$4)^($B$1-'FREEVAL INPUT 2020 Hourly'!$B$1)</f>
        <v>908.51767987905782</v>
      </c>
      <c r="M17" s="21">
        <f>('FREEVAL INPUT 2020 Hourly'!M17)*(1+$B$4)^($B$1-'FREEVAL INPUT 2020 Hourly'!$B$1)</f>
        <v>1266.333873800656</v>
      </c>
      <c r="N17" s="21">
        <f>('FREEVAL INPUT 2020 Hourly'!N17)*(1+$B$4)^($B$1-'FREEVAL INPUT 2020 Hourly'!$B$1)</f>
        <v>279.54390150124857</v>
      </c>
      <c r="O17" s="21">
        <f>('FREEVAL INPUT 2020 Hourly'!O17)*(1+$B$4)^($B$1-'FREEVAL INPUT 2020 Hourly'!$B$1)</f>
        <v>1545.8777753019044</v>
      </c>
      <c r="P17" s="21">
        <f>('FREEVAL INPUT 2020 Hourly'!P17)*(1+$B$4)^($B$1-'FREEVAL INPUT 2020 Hourly'!$B$1)</f>
        <v>68.48825586780589</v>
      </c>
      <c r="Q17" s="21">
        <f>('FREEVAL INPUT 2020 Hourly'!Q17)*(1+$B$4)^($B$1-'FREEVAL INPUT 2020 Hourly'!$B$1)</f>
        <v>1477.3895194340985</v>
      </c>
      <c r="R17" s="21">
        <f>('FREEVAL INPUT 2020 Hourly'!R17)*(1+$B$4)^($B$1-'FREEVAL INPUT 2020 Hourly'!$B$1)</f>
        <v>85.260889957880806</v>
      </c>
      <c r="S17" s="21">
        <f>('FREEVAL INPUT 2020 Hourly'!S17)*(1+$B$4)^($B$1-'FREEVAL INPUT 2020 Hourly'!$B$1)</f>
        <v>1562.6504093919793</v>
      </c>
    </row>
    <row r="18" spans="1:19" x14ac:dyDescent="0.25">
      <c r="B18" s="38">
        <f t="shared" si="0"/>
        <v>15971.740812273832</v>
      </c>
      <c r="C18" s="20">
        <v>0.45833333333333298</v>
      </c>
      <c r="D18" s="21">
        <f>('FREEVAL INPUT 2020 Hourly'!D18)*(1+$B$4)^($B$1-'FREEVAL INPUT 2020 Hourly'!$B$1)</f>
        <v>2911.4497341355036</v>
      </c>
      <c r="E18" s="113">
        <f>('FREEVAL INPUT 2020 Hourly'!E18)*(1+$B$4)^($B$1-'FREEVAL INPUT 2020 Hourly'!$B$1)</f>
        <v>116.01071912301815</v>
      </c>
      <c r="F18" s="21">
        <f>('FREEVAL INPUT 2020 Hourly'!F18)*(1+$B$4)^($B$1-'FREEVAL INPUT 2020 Hourly'!$B$1)</f>
        <v>3027.4604532585217</v>
      </c>
      <c r="G18" s="21">
        <f>('FREEVAL INPUT 2020 Hourly'!G18)*(1+$B$4)^($B$1-'FREEVAL INPUT 2020 Hourly'!$B$1)</f>
        <v>3027.4604532585217</v>
      </c>
      <c r="H18" s="21">
        <f>('FREEVAL INPUT 2020 Hourly'!H18)*(1+$B$4)^($B$1-'FREEVAL INPUT 2020 Hourly'!$B$1)</f>
        <v>956.04014313427001</v>
      </c>
      <c r="I18" s="21">
        <f>('FREEVAL INPUT 2020 Hourly'!I18)*(1+$B$4)^($B$1-'FREEVAL INPUT 2020 Hourly'!$B$1)</f>
        <v>2071.420310124252</v>
      </c>
      <c r="J18" s="21">
        <f>('FREEVAL INPUT 2020 Hourly'!J18)*(1+$B$4)^($B$1-'FREEVAL INPUT 2020 Hourly'!$B$1)</f>
        <v>191.48757252835523</v>
      </c>
      <c r="K18" s="21">
        <f>('FREEVAL INPUT 2020 Hourly'!K18)*(1+$B$4)^($B$1-'FREEVAL INPUT 2020 Hourly'!$B$1)</f>
        <v>2262.907882652607</v>
      </c>
      <c r="L18" s="21">
        <f>('FREEVAL INPUT 2020 Hourly'!L18)*(1+$B$4)^($B$1-'FREEVAL INPUT 2020 Hourly'!$B$1)</f>
        <v>1032.9147160471134</v>
      </c>
      <c r="M18" s="21">
        <f>('FREEVAL INPUT 2020 Hourly'!M18)*(1+$B$4)^($B$1-'FREEVAL INPUT 2020 Hourly'!$B$1)</f>
        <v>1229.9931666054936</v>
      </c>
      <c r="N18" s="21">
        <f>('FREEVAL INPUT 2020 Hourly'!N18)*(1+$B$4)^($B$1-'FREEVAL INPUT 2020 Hourly'!$B$1)</f>
        <v>342.44127933902945</v>
      </c>
      <c r="O18" s="21">
        <f>('FREEVAL INPUT 2020 Hourly'!O18)*(1+$B$4)^($B$1-'FREEVAL INPUT 2020 Hourly'!$B$1)</f>
        <v>1572.4344459445231</v>
      </c>
      <c r="P18" s="21">
        <f>('FREEVAL INPUT 2020 Hourly'!P18)*(1+$B$4)^($B$1-'FREEVAL INPUT 2020 Hourly'!$B$1)</f>
        <v>106.22668257047445</v>
      </c>
      <c r="Q18" s="21">
        <f>('FREEVAL INPUT 2020 Hourly'!Q18)*(1+$B$4)^($B$1-'FREEVAL INPUT 2020 Hourly'!$B$1)</f>
        <v>1466.2077633740485</v>
      </c>
      <c r="R18" s="21">
        <f>('FREEVAL INPUT 2020 Hourly'!R18)*(1+$B$4)^($B$1-'FREEVAL INPUT 2020 Hourly'!$B$1)</f>
        <v>122.99931666054935</v>
      </c>
      <c r="S18" s="21">
        <f>('FREEVAL INPUT 2020 Hourly'!S18)*(1+$B$4)^($B$1-'FREEVAL INPUT 2020 Hourly'!$B$1)</f>
        <v>1589.2070800345978</v>
      </c>
    </row>
    <row r="19" spans="1:19" x14ac:dyDescent="0.25">
      <c r="B19" s="38">
        <f t="shared" si="0"/>
        <v>17057.768869606189</v>
      </c>
      <c r="C19" s="20">
        <v>0.5</v>
      </c>
      <c r="D19" s="21">
        <f>('FREEVAL INPUT 2020 Hourly'!D19)*(1+$B$4)^($B$1-'FREEVAL INPUT 2020 Hourly'!$B$1)</f>
        <v>3101.5395871563528</v>
      </c>
      <c r="E19" s="113">
        <f>('FREEVAL INPUT 2020 Hourly'!E19)*(1+$B$4)^($B$1-'FREEVAL INPUT 2020 Hourly'!$B$1)</f>
        <v>120.20387764553688</v>
      </c>
      <c r="F19" s="21">
        <f>('FREEVAL INPUT 2020 Hourly'!F19)*(1+$B$4)^($B$1-'FREEVAL INPUT 2020 Hourly'!$B$1)</f>
        <v>3221.7434648018898</v>
      </c>
      <c r="G19" s="21">
        <f>('FREEVAL INPUT 2020 Hourly'!G19)*(1+$B$4)^($B$1-'FREEVAL INPUT 2020 Hourly'!$B$1)</f>
        <v>3221.7434648018898</v>
      </c>
      <c r="H19" s="21">
        <f>('FREEVAL INPUT 2020 Hourly'!H19)*(1+$B$4)^($B$1-'FREEVAL INPUT 2020 Hourly'!$B$1)</f>
        <v>975.60821623935749</v>
      </c>
      <c r="I19" s="21">
        <f>('FREEVAL INPUT 2020 Hourly'!I19)*(1+$B$4)^($B$1-'FREEVAL INPUT 2020 Hourly'!$B$1)</f>
        <v>2246.1352485625321</v>
      </c>
      <c r="J19" s="21">
        <f>('FREEVAL INPUT 2020 Hourly'!J19)*(1+$B$4)^($B$1-'FREEVAL INPUT 2020 Hourly'!$B$1)</f>
        <v>204.06704809591145</v>
      </c>
      <c r="K19" s="21">
        <f>('FREEVAL INPUT 2020 Hourly'!K19)*(1+$B$4)^($B$1-'FREEVAL INPUT 2020 Hourly'!$B$1)</f>
        <v>2450.2022966584436</v>
      </c>
      <c r="L19" s="21">
        <f>('FREEVAL INPUT 2020 Hourly'!L19)*(1+$B$4)^($B$1-'FREEVAL INPUT 2020 Hourly'!$B$1)</f>
        <v>1195.0501789178377</v>
      </c>
      <c r="M19" s="21">
        <f>('FREEVAL INPUT 2020 Hourly'!M19)*(1+$B$4)^($B$1-'FREEVAL INPUT 2020 Hourly'!$B$1)</f>
        <v>1255.1521177406059</v>
      </c>
      <c r="N19" s="21">
        <f>('FREEVAL INPUT 2020 Hourly'!N19)*(1+$B$4)^($B$1-'FREEVAL INPUT 2020 Hourly'!$B$1)</f>
        <v>396.95234013177287</v>
      </c>
      <c r="O19" s="21">
        <f>('FREEVAL INPUT 2020 Hourly'!O19)*(1+$B$4)^($B$1-'FREEVAL INPUT 2020 Hourly'!$B$1)</f>
        <v>1652.1044578723788</v>
      </c>
      <c r="P19" s="21">
        <f>('FREEVAL INPUT 2020 Hourly'!P19)*(1+$B$4)^($B$1-'FREEVAL INPUT 2020 Hourly'!$B$1)</f>
        <v>103.43124355546196</v>
      </c>
      <c r="Q19" s="21">
        <f>('FREEVAL INPUT 2020 Hourly'!Q19)*(1+$B$4)^($B$1-'FREEVAL INPUT 2020 Hourly'!$B$1)</f>
        <v>1548.673214316917</v>
      </c>
      <c r="R19" s="21">
        <f>('FREEVAL INPUT 2020 Hourly'!R19)*(1+$B$4)^($B$1-'FREEVAL INPUT 2020 Hourly'!$B$1)</f>
        <v>129.98791419808057</v>
      </c>
      <c r="S19" s="21">
        <f>('FREEVAL INPUT 2020 Hourly'!S19)*(1+$B$4)^($B$1-'FREEVAL INPUT 2020 Hourly'!$B$1)</f>
        <v>1678.6611285149975</v>
      </c>
    </row>
    <row r="20" spans="1:19" x14ac:dyDescent="0.25">
      <c r="B20" s="38">
        <f t="shared" si="0"/>
        <v>18258.409926554046</v>
      </c>
      <c r="C20" s="20">
        <v>0.54166666666666596</v>
      </c>
      <c r="D20" s="21">
        <f>('FREEVAL INPUT 2020 Hourly'!D20)*(1+$B$4)^($B$1-'FREEVAL INPUT 2020 Hourly'!$B$1)</f>
        <v>3269.2659280571015</v>
      </c>
      <c r="E20" s="113">
        <f>('FREEVAL INPUT 2020 Hourly'!E20)*(1+$B$4)^($B$1-'FREEVAL INPUT 2020 Hourly'!$B$1)</f>
        <v>122.99931666054935</v>
      </c>
      <c r="F20" s="21">
        <f>('FREEVAL INPUT 2020 Hourly'!F20)*(1+$B$4)^($B$1-'FREEVAL INPUT 2020 Hourly'!$B$1)</f>
        <v>3392.2652447176511</v>
      </c>
      <c r="G20" s="21">
        <f>('FREEVAL INPUT 2020 Hourly'!G20)*(1+$B$4)^($B$1-'FREEVAL INPUT 2020 Hourly'!$B$1)</f>
        <v>3392.2652447176511</v>
      </c>
      <c r="H20" s="21">
        <f>('FREEVAL INPUT 2020 Hourly'!H20)*(1+$B$4)^($B$1-'FREEVAL INPUT 2020 Hourly'!$B$1)</f>
        <v>1032.9147160471134</v>
      </c>
      <c r="I20" s="21">
        <f>('FREEVAL INPUT 2020 Hourly'!I20)*(1+$B$4)^($B$1-'FREEVAL INPUT 2020 Hourly'!$B$1)</f>
        <v>2359.3505286705376</v>
      </c>
      <c r="J20" s="21">
        <f>('FREEVAL INPUT 2020 Hourly'!J20)*(1+$B$4)^($B$1-'FREEVAL INPUT 2020 Hourly'!$B$1)</f>
        <v>236.21459676855503</v>
      </c>
      <c r="K20" s="21">
        <f>('FREEVAL INPUT 2020 Hourly'!K20)*(1+$B$4)^($B$1-'FREEVAL INPUT 2020 Hourly'!$B$1)</f>
        <v>2595.5651254390928</v>
      </c>
      <c r="L20" s="21">
        <f>('FREEVAL INPUT 2020 Hourly'!L20)*(1+$B$4)^($B$1-'FREEVAL INPUT 2020 Hourly'!$B$1)</f>
        <v>1192.2547399028251</v>
      </c>
      <c r="M20" s="21">
        <f>('FREEVAL INPUT 2020 Hourly'!M20)*(1+$B$4)^($B$1-'FREEVAL INPUT 2020 Hourly'!$B$1)</f>
        <v>1403.3103855362676</v>
      </c>
      <c r="N20" s="21">
        <f>('FREEVAL INPUT 2020 Hourly'!N20)*(1+$B$4)^($B$1-'FREEVAL INPUT 2020 Hourly'!$B$1)</f>
        <v>416.52041323686029</v>
      </c>
      <c r="O20" s="21">
        <f>('FREEVAL INPUT 2020 Hourly'!O20)*(1+$B$4)^($B$1-'FREEVAL INPUT 2020 Hourly'!$B$1)</f>
        <v>1819.8307987731282</v>
      </c>
      <c r="P20" s="21">
        <f>('FREEVAL INPUT 2020 Hourly'!P20)*(1+$B$4)^($B$1-'FREEVAL INPUT 2020 Hourly'!$B$1)</f>
        <v>117.40843863052439</v>
      </c>
      <c r="Q20" s="21">
        <f>('FREEVAL INPUT 2020 Hourly'!Q20)*(1+$B$4)^($B$1-'FREEVAL INPUT 2020 Hourly'!$B$1)</f>
        <v>1702.4223601426038</v>
      </c>
      <c r="R20" s="21">
        <f>('FREEVAL INPUT 2020 Hourly'!R20)*(1+$B$4)^($B$1-'FREEVAL INPUT 2020 Hourly'!$B$1)</f>
        <v>143.96510927314301</v>
      </c>
      <c r="S20" s="21">
        <f>('FREEVAL INPUT 2020 Hourly'!S20)*(1+$B$4)^($B$1-'FREEVAL INPUT 2020 Hourly'!$B$1)</f>
        <v>1846.3874694157466</v>
      </c>
    </row>
    <row r="21" spans="1:19" x14ac:dyDescent="0.25">
      <c r="B21" s="38">
        <f t="shared" si="0"/>
        <v>21028.689990431423</v>
      </c>
      <c r="C21" s="20">
        <v>0.58333333333333304</v>
      </c>
      <c r="D21" s="21">
        <f>('FREEVAL INPUT 2020 Hourly'!D21)*(1+$B$4)^($B$1-'FREEVAL INPUT 2020 Hourly'!$B$1)</f>
        <v>3843.7286456421675</v>
      </c>
      <c r="E21" s="113">
        <f>('FREEVAL INPUT 2020 Hourly'!E21)*(1+$B$4)^($B$1-'FREEVAL INPUT 2020 Hourly'!$B$1)</f>
        <v>128.59019469057432</v>
      </c>
      <c r="F21" s="21">
        <f>('FREEVAL INPUT 2020 Hourly'!F21)*(1+$B$4)^($B$1-'FREEVAL INPUT 2020 Hourly'!$B$1)</f>
        <v>3972.3188403327417</v>
      </c>
      <c r="G21" s="21">
        <f>('FREEVAL INPUT 2020 Hourly'!G21)*(1+$B$4)^($B$1-'FREEVAL INPUT 2020 Hourly'!$B$1)</f>
        <v>3972.3188403327417</v>
      </c>
      <c r="H21" s="21">
        <f>('FREEVAL INPUT 2020 Hourly'!H21)*(1+$B$4)^($B$1-'FREEVAL INPUT 2020 Hourly'!$B$1)</f>
        <v>1214.6182520229249</v>
      </c>
      <c r="I21" s="21">
        <f>('FREEVAL INPUT 2020 Hourly'!I21)*(1+$B$4)^($B$1-'FREEVAL INPUT 2020 Hourly'!$B$1)</f>
        <v>2757.7005883098168</v>
      </c>
      <c r="J21" s="21">
        <f>('FREEVAL INPUT 2020 Hourly'!J21)*(1+$B$4)^($B$1-'FREEVAL INPUT 2020 Hourly'!$B$1)</f>
        <v>225.03284070850506</v>
      </c>
      <c r="K21" s="21">
        <f>('FREEVAL INPUT 2020 Hourly'!K21)*(1+$B$4)^($B$1-'FREEVAL INPUT 2020 Hourly'!$B$1)</f>
        <v>2982.7334290183221</v>
      </c>
      <c r="L21" s="21">
        <f>('FREEVAL INPUT 2020 Hourly'!L21)*(1+$B$4)^($B$1-'FREEVAL INPUT 2020 Hourly'!$B$1)</f>
        <v>1364.1742393260929</v>
      </c>
      <c r="M21" s="21">
        <f>('FREEVAL INPUT 2020 Hourly'!M21)*(1+$B$4)^($B$1-'FREEVAL INPUT 2020 Hourly'!$B$1)</f>
        <v>1618.559189692229</v>
      </c>
      <c r="N21" s="21">
        <f>('FREEVAL INPUT 2020 Hourly'!N21)*(1+$B$4)^($B$1-'FREEVAL INPUT 2020 Hourly'!$B$1)</f>
        <v>452.86112043202263</v>
      </c>
      <c r="O21" s="21">
        <f>('FREEVAL INPUT 2020 Hourly'!O21)*(1+$B$4)^($B$1-'FREEVAL INPUT 2020 Hourly'!$B$1)</f>
        <v>2071.420310124252</v>
      </c>
      <c r="P21" s="21">
        <f>('FREEVAL INPUT 2020 Hourly'!P21)*(1+$B$4)^($B$1-'FREEVAL INPUT 2020 Hourly'!$B$1)</f>
        <v>120.20387764553688</v>
      </c>
      <c r="Q21" s="21">
        <f>('FREEVAL INPUT 2020 Hourly'!Q21)*(1+$B$4)^($B$1-'FREEVAL INPUT 2020 Hourly'!$B$1)</f>
        <v>1951.216432478715</v>
      </c>
      <c r="R21" s="21">
        <f>('FREEVAL INPUT 2020 Hourly'!R21)*(1+$B$4)^($B$1-'FREEVAL INPUT 2020 Hourly'!$B$1)</f>
        <v>173.31721893077412</v>
      </c>
      <c r="S21" s="21">
        <f>('FREEVAL INPUT 2020 Hourly'!S21)*(1+$B$4)^($B$1-'FREEVAL INPUT 2020 Hourly'!$B$1)</f>
        <v>2124.5336514094888</v>
      </c>
    </row>
    <row r="22" spans="1:19" x14ac:dyDescent="0.25">
      <c r="B22" s="38">
        <f t="shared" si="0"/>
        <v>28850.328354436362</v>
      </c>
      <c r="C22" s="20">
        <v>0.625</v>
      </c>
      <c r="D22" s="21">
        <f>('FREEVAL INPUT 2020 Hourly'!D22)*(1+$B$4)^($B$1-'FREEVAL INPUT 2020 Hourly'!$B$1)</f>
        <v>5277.7888603435731</v>
      </c>
      <c r="E22" s="113">
        <f>('FREEVAL INPUT 2020 Hourly'!E22)*(1+$B$4)^($B$1-'FREEVAL INPUT 2020 Hourly'!$B$1)</f>
        <v>136.97651173561178</v>
      </c>
      <c r="F22" s="21">
        <f>('FREEVAL INPUT 2020 Hourly'!F22)*(1+$B$4)^($B$1-'FREEVAL INPUT 2020 Hourly'!$B$1)</f>
        <v>5414.765372079185</v>
      </c>
      <c r="G22" s="21">
        <f>('FREEVAL INPUT 2020 Hourly'!G22)*(1+$B$4)^($B$1-'FREEVAL INPUT 2020 Hourly'!$B$1)</f>
        <v>5414.765372079185</v>
      </c>
      <c r="H22" s="21">
        <f>('FREEVAL INPUT 2020 Hourly'!H22)*(1+$B$4)^($B$1-'FREEVAL INPUT 2020 Hourly'!$B$1)</f>
        <v>1502.5484705692111</v>
      </c>
      <c r="I22" s="21">
        <f>('FREEVAL INPUT 2020 Hourly'!I22)*(1+$B$4)^($B$1-'FREEVAL INPUT 2020 Hourly'!$B$1)</f>
        <v>3912.2169015099735</v>
      </c>
      <c r="J22" s="21">
        <f>('FREEVAL INPUT 2020 Hourly'!J22)*(1+$B$4)^($B$1-'FREEVAL INPUT 2020 Hourly'!$B$1)</f>
        <v>247.39635282860496</v>
      </c>
      <c r="K22" s="21">
        <f>('FREEVAL INPUT 2020 Hourly'!K22)*(1+$B$4)^($B$1-'FREEVAL INPUT 2020 Hourly'!$B$1)</f>
        <v>4159.6132543385784</v>
      </c>
      <c r="L22" s="21">
        <f>('FREEVAL INPUT 2020 Hourly'!L22)*(1+$B$4)^($B$1-'FREEVAL INPUT 2020 Hourly'!$B$1)</f>
        <v>1698.229201620085</v>
      </c>
      <c r="M22" s="21">
        <f>('FREEVAL INPUT 2020 Hourly'!M22)*(1+$B$4)^($B$1-'FREEVAL INPUT 2020 Hourly'!$B$1)</f>
        <v>2461.3840527184934</v>
      </c>
      <c r="N22" s="21">
        <f>('FREEVAL INPUT 2020 Hourly'!N22)*(1+$B$4)^($B$1-'FREEVAL INPUT 2020 Hourly'!$B$1)</f>
        <v>458.45199846204764</v>
      </c>
      <c r="O22" s="21">
        <f>('FREEVAL INPUT 2020 Hourly'!O22)*(1+$B$4)^($B$1-'FREEVAL INPUT 2020 Hourly'!$B$1)</f>
        <v>2919.8360511805408</v>
      </c>
      <c r="P22" s="21">
        <f>('FREEVAL INPUT 2020 Hourly'!P22)*(1+$B$4)^($B$1-'FREEVAL INPUT 2020 Hourly'!$B$1)</f>
        <v>213.85108464845516</v>
      </c>
      <c r="Q22" s="21">
        <f>('FREEVAL INPUT 2020 Hourly'!Q22)*(1+$B$4)^($B$1-'FREEVAL INPUT 2020 Hourly'!$B$1)</f>
        <v>2705.9849665320858</v>
      </c>
      <c r="R22" s="21">
        <f>('FREEVAL INPUT 2020 Hourly'!R22)*(1+$B$4)^($B$1-'FREEVAL INPUT 2020 Hourly'!$B$1)</f>
        <v>225.03284070850506</v>
      </c>
      <c r="S22" s="21">
        <f>('FREEVAL INPUT 2020 Hourly'!S22)*(1+$B$4)^($B$1-'FREEVAL INPUT 2020 Hourly'!$B$1)</f>
        <v>2931.0178072405911</v>
      </c>
    </row>
    <row r="23" spans="1:19" s="51" customFormat="1" x14ac:dyDescent="0.25">
      <c r="A23" s="102" t="s">
        <v>242</v>
      </c>
      <c r="B23" s="39">
        <f t="shared" si="0"/>
        <v>28535</v>
      </c>
      <c r="C23" s="40">
        <v>0.66666666666666596</v>
      </c>
      <c r="D23" s="44">
        <v>4868</v>
      </c>
      <c r="E23" s="44">
        <v>123</v>
      </c>
      <c r="F23" s="44">
        <v>4991</v>
      </c>
      <c r="G23" s="44">
        <v>4994</v>
      </c>
      <c r="H23" s="44">
        <v>1292</v>
      </c>
      <c r="I23" s="44">
        <v>3699</v>
      </c>
      <c r="J23" s="44">
        <v>388</v>
      </c>
      <c r="K23" s="44">
        <v>4087</v>
      </c>
      <c r="L23" s="44">
        <v>1545</v>
      </c>
      <c r="M23" s="44">
        <v>2542</v>
      </c>
      <c r="N23" s="44">
        <v>483</v>
      </c>
      <c r="O23" s="44">
        <v>3025</v>
      </c>
      <c r="P23" s="44">
        <v>456</v>
      </c>
      <c r="Q23" s="44">
        <v>2569</v>
      </c>
      <c r="R23" s="44">
        <v>443</v>
      </c>
      <c r="S23" s="44">
        <v>3012</v>
      </c>
    </row>
    <row r="24" spans="1:19" x14ac:dyDescent="0.25">
      <c r="B24" s="38">
        <f t="shared" si="0"/>
        <v>28841.942037391313</v>
      </c>
      <c r="C24" s="20">
        <v>0.70833333333333304</v>
      </c>
      <c r="D24" s="21">
        <f>('FREEVAL INPUT 2020 Hourly'!D24)*(1+$B$4)^($B$1-'FREEVAL INPUT 2020 Hourly'!$B$1)</f>
        <v>5280.5842993585857</v>
      </c>
      <c r="E24" s="113">
        <f>('FREEVAL INPUT 2020 Hourly'!E24)*(1+$B$4)^($B$1-'FREEVAL INPUT 2020 Hourly'!$B$1)</f>
        <v>146.76054828815549</v>
      </c>
      <c r="F24" s="21">
        <f>('FREEVAL INPUT 2020 Hourly'!F24)*(1+$B$4)^($B$1-'FREEVAL INPUT 2020 Hourly'!$B$1)</f>
        <v>5427.3448476467402</v>
      </c>
      <c r="G24" s="21">
        <f>('FREEVAL INPUT 2020 Hourly'!G24)*(1+$B$4)^($B$1-'FREEVAL INPUT 2020 Hourly'!$B$1)</f>
        <v>5427.3448476467402</v>
      </c>
      <c r="H24" s="21">
        <f>('FREEVAL INPUT 2020 Hourly'!H24)*(1+$B$4)^($B$1-'FREEVAL INPUT 2020 Hourly'!$B$1)</f>
        <v>1545.8777753019044</v>
      </c>
      <c r="I24" s="21">
        <f>('FREEVAL INPUT 2020 Hourly'!I24)*(1+$B$4)^($B$1-'FREEVAL INPUT 2020 Hourly'!$B$1)</f>
        <v>3881.4670723448357</v>
      </c>
      <c r="J24" s="21">
        <f>('FREEVAL INPUT 2020 Hourly'!J24)*(1+$B$4)^($B$1-'FREEVAL INPUT 2020 Hourly'!$B$1)</f>
        <v>335.45268180149827</v>
      </c>
      <c r="K24" s="21">
        <f>('FREEVAL INPUT 2020 Hourly'!K24)*(1+$B$4)^($B$1-'FREEVAL INPUT 2020 Hourly'!$B$1)</f>
        <v>4216.9197541463345</v>
      </c>
      <c r="L24" s="21">
        <f>('FREEVAL INPUT 2020 Hourly'!L24)*(1+$B$4)^($B$1-'FREEVAL INPUT 2020 Hourly'!$B$1)</f>
        <v>1921.8643228210838</v>
      </c>
      <c r="M24" s="21">
        <f>('FREEVAL INPUT 2020 Hourly'!M24)*(1+$B$4)^($B$1-'FREEVAL INPUT 2020 Hourly'!$B$1)</f>
        <v>2295.0554313252505</v>
      </c>
      <c r="N24" s="21">
        <f>('FREEVAL INPUT 2020 Hourly'!N24)*(1+$B$4)^($B$1-'FREEVAL INPUT 2020 Hourly'!$B$1)</f>
        <v>526.94025432985347</v>
      </c>
      <c r="O24" s="21">
        <f>('FREEVAL INPUT 2020 Hourly'!O24)*(1+$B$4)^($B$1-'FREEVAL INPUT 2020 Hourly'!$B$1)</f>
        <v>2821.9956856551044</v>
      </c>
      <c r="P24" s="21">
        <f>('FREEVAL INPUT 2020 Hourly'!P24)*(1+$B$4)^($B$1-'FREEVAL INPUT 2020 Hourly'!$B$1)</f>
        <v>342.44127933902945</v>
      </c>
      <c r="Q24" s="21">
        <f>('FREEVAL INPUT 2020 Hourly'!Q24)*(1+$B$4)^($B$1-'FREEVAL INPUT 2020 Hourly'!$B$1)</f>
        <v>2479.5544063160746</v>
      </c>
      <c r="R24" s="21">
        <f>('FREEVAL INPUT 2020 Hourly'!R24)*(1+$B$4)^($B$1-'FREEVAL INPUT 2020 Hourly'!$B$1)</f>
        <v>283.7370600237673</v>
      </c>
      <c r="S24" s="21">
        <f>('FREEVAL INPUT 2020 Hourly'!S24)*(1+$B$4)^($B$1-'FREEVAL INPUT 2020 Hourly'!$B$1)</f>
        <v>2763.2914663398419</v>
      </c>
    </row>
    <row r="25" spans="1:19" x14ac:dyDescent="0.25">
      <c r="B25" s="38">
        <f t="shared" si="0"/>
        <v>22346.73948600981</v>
      </c>
      <c r="C25" s="20">
        <v>0.75</v>
      </c>
      <c r="D25" s="21">
        <f>('FREEVAL INPUT 2020 Hourly'!D25)*(1+$B$4)^($B$1-'FREEVAL INPUT 2020 Hourly'!$B$1)</f>
        <v>4098.1135960083038</v>
      </c>
      <c r="E25" s="113">
        <f>('FREEVAL INPUT 2020 Hourly'!E25)*(1+$B$4)^($B$1-'FREEVAL INPUT 2020 Hourly'!$B$1)</f>
        <v>131.3856337055868</v>
      </c>
      <c r="F25" s="21">
        <f>('FREEVAL INPUT 2020 Hourly'!F25)*(1+$B$4)^($B$1-'FREEVAL INPUT 2020 Hourly'!$B$1)</f>
        <v>4229.4992297138906</v>
      </c>
      <c r="G25" s="21">
        <f>('FREEVAL INPUT 2020 Hourly'!G25)*(1+$B$4)^($B$1-'FREEVAL INPUT 2020 Hourly'!$B$1)</f>
        <v>4229.4992297138906</v>
      </c>
      <c r="H25" s="21">
        <f>('FREEVAL INPUT 2020 Hourly'!H25)*(1+$B$4)^($B$1-'FREEVAL INPUT 2020 Hourly'!$B$1)</f>
        <v>1179.6752643352688</v>
      </c>
      <c r="I25" s="21">
        <f>('FREEVAL INPUT 2020 Hourly'!I25)*(1+$B$4)^($B$1-'FREEVAL INPUT 2020 Hourly'!$B$1)</f>
        <v>3049.8239653786213</v>
      </c>
      <c r="J25" s="21">
        <f>('FREEVAL INPUT 2020 Hourly'!J25)*(1+$B$4)^($B$1-'FREEVAL INPUT 2020 Hourly'!$B$1)</f>
        <v>212.4533651409489</v>
      </c>
      <c r="K25" s="21">
        <f>('FREEVAL INPUT 2020 Hourly'!K25)*(1+$B$4)^($B$1-'FREEVAL INPUT 2020 Hourly'!$B$1)</f>
        <v>3262.2773305195706</v>
      </c>
      <c r="L25" s="21">
        <f>('FREEVAL INPUT 2020 Hourly'!L25)*(1+$B$4)^($B$1-'FREEVAL INPUT 2020 Hourly'!$B$1)</f>
        <v>1508.139348599236</v>
      </c>
      <c r="M25" s="21">
        <f>('FREEVAL INPUT 2020 Hourly'!M25)*(1+$B$4)^($B$1-'FREEVAL INPUT 2020 Hourly'!$B$1)</f>
        <v>1754.1379819203346</v>
      </c>
      <c r="N25" s="21">
        <f>('FREEVAL INPUT 2020 Hourly'!N25)*(1+$B$4)^($B$1-'FREEVAL INPUT 2020 Hourly'!$B$1)</f>
        <v>434.69076683444149</v>
      </c>
      <c r="O25" s="21">
        <f>('FREEVAL INPUT 2020 Hourly'!O25)*(1+$B$4)^($B$1-'FREEVAL INPUT 2020 Hourly'!$B$1)</f>
        <v>2188.8287487547764</v>
      </c>
      <c r="P25" s="21">
        <f>('FREEVAL INPUT 2020 Hourly'!P25)*(1+$B$4)^($B$1-'FREEVAL INPUT 2020 Hourly'!$B$1)</f>
        <v>211.05564563344265</v>
      </c>
      <c r="Q25" s="21">
        <f>('FREEVAL INPUT 2020 Hourly'!Q25)*(1+$B$4)^($B$1-'FREEVAL INPUT 2020 Hourly'!$B$1)</f>
        <v>1977.7731031213334</v>
      </c>
      <c r="R25" s="21">
        <f>('FREEVAL INPUT 2020 Hourly'!R25)*(1+$B$4)^($B$1-'FREEVAL INPUT 2020 Hourly'!$B$1)</f>
        <v>180.30581646830532</v>
      </c>
      <c r="S25" s="21">
        <f>('FREEVAL INPUT 2020 Hourly'!S25)*(1+$B$4)^($B$1-'FREEVAL INPUT 2020 Hourly'!$B$1)</f>
        <v>2158.0789195896386</v>
      </c>
    </row>
    <row r="26" spans="1:19" x14ac:dyDescent="0.25">
      <c r="B26" s="38">
        <f t="shared" si="0"/>
        <v>14870.337840358918</v>
      </c>
      <c r="C26" s="20">
        <v>0.79166666666666596</v>
      </c>
      <c r="D26" s="21">
        <f>('FREEVAL INPUT 2020 Hourly'!D26)*(1+$B$4)^($B$1-'FREEVAL INPUT 2020 Hourly'!$B$1)</f>
        <v>2725.5530396371732</v>
      </c>
      <c r="E26" s="113">
        <f>('FREEVAL INPUT 2020 Hourly'!E26)*(1+$B$4)^($B$1-'FREEVAL INPUT 2020 Hourly'!$B$1)</f>
        <v>102.03352404795572</v>
      </c>
      <c r="F26" s="21">
        <f>('FREEVAL INPUT 2020 Hourly'!F26)*(1+$B$4)^($B$1-'FREEVAL INPUT 2020 Hourly'!$B$1)</f>
        <v>2827.586563685129</v>
      </c>
      <c r="G26" s="21">
        <f>('FREEVAL INPUT 2020 Hourly'!G26)*(1+$B$4)^($B$1-'FREEVAL INPUT 2020 Hourly'!$B$1)</f>
        <v>2827.586563685129</v>
      </c>
      <c r="H26" s="21">
        <f>('FREEVAL INPUT 2020 Hourly'!H26)*(1+$B$4)^($B$1-'FREEVAL INPUT 2020 Hourly'!$B$1)</f>
        <v>946.25610658172639</v>
      </c>
      <c r="I26" s="21">
        <f>('FREEVAL INPUT 2020 Hourly'!I26)*(1+$B$4)^($B$1-'FREEVAL INPUT 2020 Hourly'!$B$1)</f>
        <v>1881.3304571034028</v>
      </c>
      <c r="J26" s="21">
        <f>('FREEVAL INPUT 2020 Hourly'!J26)*(1+$B$4)^($B$1-'FREEVAL INPUT 2020 Hourly'!$B$1)</f>
        <v>198.47617006588644</v>
      </c>
      <c r="K26" s="21">
        <f>('FREEVAL INPUT 2020 Hourly'!K26)*(1+$B$4)^($B$1-'FREEVAL INPUT 2020 Hourly'!$B$1)</f>
        <v>2079.8066271692892</v>
      </c>
      <c r="L26" s="21">
        <f>('FREEVAL INPUT 2020 Hourly'!L26)*(1+$B$4)^($B$1-'FREEVAL INPUT 2020 Hourly'!$B$1)</f>
        <v>1004.9603258969886</v>
      </c>
      <c r="M26" s="21">
        <f>('FREEVAL INPUT 2020 Hourly'!M26)*(1+$B$4)^($B$1-'FREEVAL INPUT 2020 Hourly'!$B$1)</f>
        <v>1074.8463012723005</v>
      </c>
      <c r="N26" s="21">
        <f>('FREEVAL INPUT 2020 Hourly'!N26)*(1+$B$4)^($B$1-'FREEVAL INPUT 2020 Hourly'!$B$1)</f>
        <v>368.99794998164805</v>
      </c>
      <c r="O26" s="21">
        <f>('FREEVAL INPUT 2020 Hourly'!O26)*(1+$B$4)^($B$1-'FREEVAL INPUT 2020 Hourly'!$B$1)</f>
        <v>1443.8442512539489</v>
      </c>
      <c r="P26" s="21">
        <f>('FREEVAL INPUT 2020 Hourly'!P26)*(1+$B$4)^($B$1-'FREEVAL INPUT 2020 Hourly'!$B$1)</f>
        <v>139.77195075062428</v>
      </c>
      <c r="Q26" s="21">
        <f>('FREEVAL INPUT 2020 Hourly'!Q26)*(1+$B$4)^($B$1-'FREEVAL INPUT 2020 Hourly'!$B$1)</f>
        <v>1304.0723005033244</v>
      </c>
      <c r="R26" s="21">
        <f>('FREEVAL INPUT 2020 Hourly'!R26)*(1+$B$4)^($B$1-'FREEVAL INPUT 2020 Hourly'!$B$1)</f>
        <v>148.15826779566174</v>
      </c>
      <c r="S26" s="21">
        <f>('FREEVAL INPUT 2020 Hourly'!S26)*(1+$B$4)^($B$1-'FREEVAL INPUT 2020 Hourly'!$B$1)</f>
        <v>1452.2305682989863</v>
      </c>
    </row>
    <row r="27" spans="1:19" x14ac:dyDescent="0.25">
      <c r="B27" s="38">
        <f t="shared" si="0"/>
        <v>11499.038388253859</v>
      </c>
      <c r="C27" s="20">
        <v>0.83333333333333304</v>
      </c>
      <c r="D27" s="21">
        <f>('FREEVAL INPUT 2020 Hourly'!D27)*(1+$B$4)^($B$1-'FREEVAL INPUT 2020 Hourly'!$B$1)</f>
        <v>2099.3747002743767</v>
      </c>
      <c r="E27" s="113">
        <f>('FREEVAL INPUT 2020 Hourly'!E27)*(1+$B$4)^($B$1-'FREEVAL INPUT 2020 Hourly'!$B$1)</f>
        <v>82.46545094286833</v>
      </c>
      <c r="F27" s="21">
        <f>('FREEVAL INPUT 2020 Hourly'!F27)*(1+$B$4)^($B$1-'FREEVAL INPUT 2020 Hourly'!$B$1)</f>
        <v>2181.840151217245</v>
      </c>
      <c r="G27" s="21">
        <f>('FREEVAL INPUT 2020 Hourly'!G27)*(1+$B$4)^($B$1-'FREEVAL INPUT 2020 Hourly'!$B$1)</f>
        <v>2181.840151217245</v>
      </c>
      <c r="H27" s="21">
        <f>('FREEVAL INPUT 2020 Hourly'!H27)*(1+$B$4)^($B$1-'FREEVAL INPUT 2020 Hourly'!$B$1)</f>
        <v>743.58677799332111</v>
      </c>
      <c r="I27" s="21">
        <f>('FREEVAL INPUT 2020 Hourly'!I27)*(1+$B$4)^($B$1-'FREEVAL INPUT 2020 Hourly'!$B$1)</f>
        <v>1438.2533732239237</v>
      </c>
      <c r="J27" s="21">
        <f>('FREEVAL INPUT 2020 Hourly'!J27)*(1+$B$4)^($B$1-'FREEVAL INPUT 2020 Hourly'!$B$1)</f>
        <v>176.11265794578657</v>
      </c>
      <c r="K27" s="21">
        <f>('FREEVAL INPUT 2020 Hourly'!K27)*(1+$B$4)^($B$1-'FREEVAL INPUT 2020 Hourly'!$B$1)</f>
        <v>1614.3660311697104</v>
      </c>
      <c r="L27" s="21">
        <f>('FREEVAL INPUT 2020 Hourly'!L27)*(1+$B$4)^($B$1-'FREEVAL INPUT 2020 Hourly'!$B$1)</f>
        <v>753.37081454586485</v>
      </c>
      <c r="M27" s="21">
        <f>('FREEVAL INPUT 2020 Hourly'!M27)*(1+$B$4)^($B$1-'FREEVAL INPUT 2020 Hourly'!$B$1)</f>
        <v>860.99521662384552</v>
      </c>
      <c r="N27" s="21">
        <f>('FREEVAL INPUT 2020 Hourly'!N27)*(1+$B$4)^($B$1-'FREEVAL INPUT 2020 Hourly'!$B$1)</f>
        <v>265.5667064261861</v>
      </c>
      <c r="O27" s="21">
        <f>('FREEVAL INPUT 2020 Hourly'!O27)*(1+$B$4)^($B$1-'FREEVAL INPUT 2020 Hourly'!$B$1)</f>
        <v>1126.5619230500317</v>
      </c>
      <c r="P27" s="21">
        <f>('FREEVAL INPUT 2020 Hourly'!P27)*(1+$B$4)^($B$1-'FREEVAL INPUT 2020 Hourly'!$B$1)</f>
        <v>102.03352404795572</v>
      </c>
      <c r="Q27" s="21">
        <f>('FREEVAL INPUT 2020 Hourly'!Q27)*(1+$B$4)^($B$1-'FREEVAL INPUT 2020 Hourly'!$B$1)</f>
        <v>1024.528399002076</v>
      </c>
      <c r="R27" s="21">
        <f>('FREEVAL INPUT 2020 Hourly'!R27)*(1+$B$4)^($B$1-'FREEVAL INPUT 2020 Hourly'!$B$1)</f>
        <v>93.647207002918265</v>
      </c>
      <c r="S27" s="21">
        <f>('FREEVAL INPUT 2020 Hourly'!S27)*(1+$B$4)^($B$1-'FREEVAL INPUT 2020 Hourly'!$B$1)</f>
        <v>1118.1756060049943</v>
      </c>
    </row>
    <row r="28" spans="1:19" x14ac:dyDescent="0.25">
      <c r="B28" s="38">
        <f t="shared" si="0"/>
        <v>8584.7932151033419</v>
      </c>
      <c r="C28" s="20">
        <v>0.875</v>
      </c>
      <c r="D28" s="21">
        <f>('FREEVAL INPUT 2020 Hourly'!D28)*(1+$B$4)^($B$1-'FREEVAL INPUT 2020 Hourly'!$B$1)</f>
        <v>1628.3432262447727</v>
      </c>
      <c r="E28" s="113">
        <f>('FREEVAL INPUT 2020 Hourly'!E28)*(1+$B$4)^($B$1-'FREEVAL INPUT 2020 Hourly'!$B$1)</f>
        <v>67.090536360299652</v>
      </c>
      <c r="F28" s="21">
        <f>('FREEVAL INPUT 2020 Hourly'!F28)*(1+$B$4)^($B$1-'FREEVAL INPUT 2020 Hourly'!$B$1)</f>
        <v>1695.4337626050724</v>
      </c>
      <c r="G28" s="21">
        <f>('FREEVAL INPUT 2020 Hourly'!G28)*(1+$B$4)^($B$1-'FREEVAL INPUT 2020 Hourly'!$B$1)</f>
        <v>1695.4337626050724</v>
      </c>
      <c r="H28" s="21">
        <f>('FREEVAL INPUT 2020 Hourly'!H28)*(1+$B$4)^($B$1-'FREEVAL INPUT 2020 Hourly'!$B$1)</f>
        <v>529.73569334486604</v>
      </c>
      <c r="I28" s="21">
        <f>('FREEVAL INPUT 2020 Hourly'!I28)*(1+$B$4)^($B$1-'FREEVAL INPUT 2020 Hourly'!$B$1)</f>
        <v>1165.6980692602065</v>
      </c>
      <c r="J28" s="21">
        <f>('FREEVAL INPUT 2020 Hourly'!J28)*(1+$B$4)^($B$1-'FREEVAL INPUT 2020 Hourly'!$B$1)</f>
        <v>74.079133897830872</v>
      </c>
      <c r="K28" s="21">
        <f>('FREEVAL INPUT 2020 Hourly'!K28)*(1+$B$4)^($B$1-'FREEVAL INPUT 2020 Hourly'!$B$1)</f>
        <v>1239.7772031580373</v>
      </c>
      <c r="L28" s="21">
        <f>('FREEVAL INPUT 2020 Hourly'!L28)*(1+$B$4)^($B$1-'FREEVAL INPUT 2020 Hourly'!$B$1)</f>
        <v>602.4171077351906</v>
      </c>
      <c r="M28" s="21">
        <f>('FREEVAL INPUT 2020 Hourly'!M28)*(1+$B$4)^($B$1-'FREEVAL INPUT 2020 Hourly'!$B$1)</f>
        <v>637.36009542284671</v>
      </c>
      <c r="N28" s="21">
        <f>('FREEVAL INPUT 2020 Hourly'!N28)*(1+$B$4)^($B$1-'FREEVAL INPUT 2020 Hourly'!$B$1)</f>
        <v>177.51037745329282</v>
      </c>
      <c r="O28" s="21">
        <f>('FREEVAL INPUT 2020 Hourly'!O28)*(1+$B$4)^($B$1-'FREEVAL INPUT 2020 Hourly'!$B$1)</f>
        <v>814.8704728761395</v>
      </c>
      <c r="P28" s="21">
        <f>('FREEVAL INPUT 2020 Hourly'!P28)*(1+$B$4)^($B$1-'FREEVAL INPUT 2020 Hourly'!$B$1)</f>
        <v>82.46545094286833</v>
      </c>
      <c r="Q28" s="21">
        <f>('FREEVAL INPUT 2020 Hourly'!Q28)*(1+$B$4)^($B$1-'FREEVAL INPUT 2020 Hourly'!$B$1)</f>
        <v>732.40502193327109</v>
      </c>
      <c r="R28" s="21">
        <f>('FREEVAL INPUT 2020 Hourly'!R28)*(1+$B$4)^($B$1-'FREEVAL INPUT 2020 Hourly'!$B$1)</f>
        <v>50.317902270224735</v>
      </c>
      <c r="S28" s="21">
        <f>('FREEVAL INPUT 2020 Hourly'!S28)*(1+$B$4)^($B$1-'FREEVAL INPUT 2020 Hourly'!$B$1)</f>
        <v>782.72292420349595</v>
      </c>
    </row>
    <row r="29" spans="1:19" x14ac:dyDescent="0.25">
      <c r="B29" s="38">
        <f t="shared" si="0"/>
        <v>6238.0221620003622</v>
      </c>
      <c r="C29" s="20">
        <v>0.91666666666666596</v>
      </c>
      <c r="D29" s="21">
        <f>('FREEVAL INPUT 2020 Hourly'!D29)*(1+$B$4)^($B$1-'FREEVAL INPUT 2020 Hourly'!$B$1)</f>
        <v>1147.5277156626253</v>
      </c>
      <c r="E29" s="113">
        <f>('FREEVAL INPUT 2020 Hourly'!E29)*(1+$B$4)^($B$1-'FREEVAL INPUT 2020 Hourly'!$B$1)</f>
        <v>53.113341285237226</v>
      </c>
      <c r="F29" s="21">
        <f>('FREEVAL INPUT 2020 Hourly'!F29)*(1+$B$4)^($B$1-'FREEVAL INPUT 2020 Hourly'!$B$1)</f>
        <v>1200.6410569478624</v>
      </c>
      <c r="G29" s="21">
        <f>('FREEVAL INPUT 2020 Hourly'!G29)*(1+$B$4)^($B$1-'FREEVAL INPUT 2020 Hourly'!$B$1)</f>
        <v>1200.6410569478624</v>
      </c>
      <c r="H29" s="21">
        <f>('FREEVAL INPUT 2020 Hourly'!H29)*(1+$B$4)^($B$1-'FREEVAL INPUT 2020 Hourly'!$B$1)</f>
        <v>385.77058407172296</v>
      </c>
      <c r="I29" s="21">
        <f>('FREEVAL INPUT 2020 Hourly'!I29)*(1+$B$4)^($B$1-'FREEVAL INPUT 2020 Hourly'!$B$1)</f>
        <v>814.8704728761395</v>
      </c>
      <c r="J29" s="21">
        <f>('FREEVAL INPUT 2020 Hourly'!J29)*(1+$B$4)^($B$1-'FREEVAL INPUT 2020 Hourly'!$B$1)</f>
        <v>69.885975375312142</v>
      </c>
      <c r="K29" s="21">
        <f>('FREEVAL INPUT 2020 Hourly'!K29)*(1+$B$4)^($B$1-'FREEVAL INPUT 2020 Hourly'!$B$1)</f>
        <v>884.75644825145173</v>
      </c>
      <c r="L29" s="21">
        <f>('FREEVAL INPUT 2020 Hourly'!L29)*(1+$B$4)^($B$1-'FREEVAL INPUT 2020 Hourly'!$B$1)</f>
        <v>368.99794998164805</v>
      </c>
      <c r="M29" s="21">
        <f>('FREEVAL INPUT 2020 Hourly'!M29)*(1+$B$4)^($B$1-'FREEVAL INPUT 2020 Hourly'!$B$1)</f>
        <v>515.75849826980357</v>
      </c>
      <c r="N29" s="21">
        <f>('FREEVAL INPUT 2020 Hourly'!N29)*(1+$B$4)^($B$1-'FREEVAL INPUT 2020 Hourly'!$B$1)</f>
        <v>99.238085032943218</v>
      </c>
      <c r="O29" s="21">
        <f>('FREEVAL INPUT 2020 Hourly'!O29)*(1+$B$4)^($B$1-'FREEVAL INPUT 2020 Hourly'!$B$1)</f>
        <v>614.99658330274679</v>
      </c>
      <c r="P29" s="21">
        <f>('FREEVAL INPUT 2020 Hourly'!P29)*(1+$B$4)^($B$1-'FREEVAL INPUT 2020 Hourly'!$B$1)</f>
        <v>41.931585225187284</v>
      </c>
      <c r="Q29" s="21">
        <f>('FREEVAL INPUT 2020 Hourly'!Q29)*(1+$B$4)^($B$1-'FREEVAL INPUT 2020 Hourly'!$B$1)</f>
        <v>573.06499807755949</v>
      </c>
      <c r="R29" s="21">
        <f>('FREEVAL INPUT 2020 Hourly'!R29)*(1+$B$4)^($B$1-'FREEVAL INPUT 2020 Hourly'!$B$1)</f>
        <v>47.522463255212259</v>
      </c>
      <c r="S29" s="21">
        <f>('FREEVAL INPUT 2020 Hourly'!S29)*(1+$B$4)^($B$1-'FREEVAL INPUT 2020 Hourly'!$B$1)</f>
        <v>620.5874613327718</v>
      </c>
    </row>
    <row r="30" spans="1:19" x14ac:dyDescent="0.25">
      <c r="B30" s="38">
        <f t="shared" si="0"/>
        <v>4534.2020823502507</v>
      </c>
      <c r="C30" s="20">
        <v>0.95833333333333304</v>
      </c>
      <c r="D30" s="21">
        <f>('FREEVAL INPUT 2020 Hourly'!D30)*(1+$B$4)^($B$1-'FREEVAL INPUT 2020 Hourly'!$B$1)</f>
        <v>840.02942401125188</v>
      </c>
      <c r="E30" s="113">
        <f>('FREEVAL INPUT 2020 Hourly'!E30)*(1+$B$4)^($B$1-'FREEVAL INPUT 2020 Hourly'!$B$1)</f>
        <v>40.533865717681039</v>
      </c>
      <c r="F30" s="21">
        <f>('FREEVAL INPUT 2020 Hourly'!F30)*(1+$B$4)^($B$1-'FREEVAL INPUT 2020 Hourly'!$B$1)</f>
        <v>880.563289728933</v>
      </c>
      <c r="G30" s="21">
        <f>('FREEVAL INPUT 2020 Hourly'!G30)*(1+$B$4)^($B$1-'FREEVAL INPUT 2020 Hourly'!$B$1)</f>
        <v>880.563289728933</v>
      </c>
      <c r="H30" s="21">
        <f>('FREEVAL INPUT 2020 Hourly'!H30)*(1+$B$4)^($B$1-'FREEVAL INPUT 2020 Hourly'!$B$1)</f>
        <v>262.7712674111736</v>
      </c>
      <c r="I30" s="21">
        <f>('FREEVAL INPUT 2020 Hourly'!I30)*(1+$B$4)^($B$1-'FREEVAL INPUT 2020 Hourly'!$B$1)</f>
        <v>617.79202231775923</v>
      </c>
      <c r="J30" s="21">
        <f>('FREEVAL INPUT 2020 Hourly'!J30)*(1+$B$4)^($B$1-'FREEVAL INPUT 2020 Hourly'!$B$1)</f>
        <v>23.761231627606129</v>
      </c>
      <c r="K30" s="21">
        <f>('FREEVAL INPUT 2020 Hourly'!K30)*(1+$B$4)^($B$1-'FREEVAL INPUT 2020 Hourly'!$B$1)</f>
        <v>641.55325394536544</v>
      </c>
      <c r="L30" s="21">
        <f>('FREEVAL INPUT 2020 Hourly'!L30)*(1+$B$4)^($B$1-'FREEVAL INPUT 2020 Hourly'!$B$1)</f>
        <v>244.60091381359248</v>
      </c>
      <c r="M30" s="21">
        <f>('FREEVAL INPUT 2020 Hourly'!M30)*(1+$B$4)^($B$1-'FREEVAL INPUT 2020 Hourly'!$B$1)</f>
        <v>396.95234013177287</v>
      </c>
      <c r="N30" s="21">
        <f>('FREEVAL INPUT 2020 Hourly'!N30)*(1+$B$4)^($B$1-'FREEVAL INPUT 2020 Hourly'!$B$1)</f>
        <v>64.295097345287161</v>
      </c>
      <c r="O30" s="21">
        <f>('FREEVAL INPUT 2020 Hourly'!O30)*(1+$B$4)^($B$1-'FREEVAL INPUT 2020 Hourly'!$B$1)</f>
        <v>461.24743747706009</v>
      </c>
      <c r="P30" s="21">
        <f>('FREEVAL INPUT 2020 Hourly'!P30)*(1+$B$4)^($B$1-'FREEVAL INPUT 2020 Hourly'!$B$1)</f>
        <v>26.556670642618613</v>
      </c>
      <c r="Q30" s="21">
        <f>('FREEVAL INPUT 2020 Hourly'!Q30)*(1+$B$4)^($B$1-'FREEVAL INPUT 2020 Hourly'!$B$1)</f>
        <v>434.69076683444149</v>
      </c>
      <c r="R30" s="21">
        <f>('FREEVAL INPUT 2020 Hourly'!R30)*(1+$B$4)^($B$1-'FREEVAL INPUT 2020 Hourly'!$B$1)</f>
        <v>22.363512120099884</v>
      </c>
      <c r="S30" s="21">
        <f>('FREEVAL INPUT 2020 Hourly'!S30)*(1+$B$4)^($B$1-'FREEVAL INPUT 2020 Hourly'!$B$1)</f>
        <v>457.05427895454142</v>
      </c>
    </row>
    <row r="31" spans="1:19" x14ac:dyDescent="0.25">
      <c r="B31" s="167" t="s">
        <v>235</v>
      </c>
      <c r="C31" s="167"/>
      <c r="D31" s="167"/>
      <c r="E31" s="167"/>
      <c r="F31" s="167"/>
      <c r="G31" s="167"/>
      <c r="H31" s="167"/>
    </row>
    <row r="32" spans="1:19" s="84" customFormat="1" x14ac:dyDescent="0.25">
      <c r="A32" s="82"/>
      <c r="B32" s="83"/>
      <c r="C32" s="22" t="s">
        <v>255</v>
      </c>
      <c r="D32" s="22"/>
      <c r="E32" s="22"/>
      <c r="F32" s="22"/>
    </row>
    <row r="33" spans="1:18" s="81" customFormat="1" x14ac:dyDescent="0.25">
      <c r="A33" s="79"/>
      <c r="B33" s="95"/>
      <c r="C33" s="80" t="s">
        <v>257</v>
      </c>
      <c r="D33" s="80"/>
      <c r="E33" s="80"/>
      <c r="F33" s="80"/>
    </row>
    <row r="34" spans="1:18" x14ac:dyDescent="0.25">
      <c r="B34" t="s">
        <v>43</v>
      </c>
      <c r="C34" s="22"/>
      <c r="D34" s="17">
        <v>1</v>
      </c>
      <c r="E34" s="17">
        <v>2</v>
      </c>
      <c r="F34" s="17">
        <v>3</v>
      </c>
      <c r="G34" s="17">
        <v>4</v>
      </c>
      <c r="H34" s="17">
        <v>5</v>
      </c>
      <c r="I34" s="17">
        <v>6</v>
      </c>
      <c r="J34" s="17">
        <v>7</v>
      </c>
      <c r="K34" s="17">
        <v>8</v>
      </c>
      <c r="L34" s="17">
        <v>9</v>
      </c>
      <c r="M34" s="17">
        <v>10</v>
      </c>
      <c r="N34" s="17">
        <v>11</v>
      </c>
      <c r="O34" s="21">
        <v>12</v>
      </c>
      <c r="P34" s="17">
        <v>13</v>
      </c>
      <c r="Q34" s="21">
        <v>14</v>
      </c>
      <c r="R34" s="17">
        <v>15</v>
      </c>
    </row>
    <row r="35" spans="1:18" x14ac:dyDescent="0.25">
      <c r="C35" s="16" t="s">
        <v>203</v>
      </c>
      <c r="D35" s="17" t="s">
        <v>201</v>
      </c>
      <c r="E35" s="17" t="s">
        <v>198</v>
      </c>
      <c r="F35" s="17" t="s">
        <v>199</v>
      </c>
      <c r="G35" s="17" t="s">
        <v>200</v>
      </c>
      <c r="H35" s="17" t="s">
        <v>197</v>
      </c>
      <c r="I35" s="17" t="s">
        <v>194</v>
      </c>
      <c r="J35" s="17" t="s">
        <v>195</v>
      </c>
      <c r="K35" s="17" t="s">
        <v>196</v>
      </c>
      <c r="L35" s="17" t="s">
        <v>193</v>
      </c>
      <c r="M35" s="17" t="s">
        <v>190</v>
      </c>
      <c r="N35" s="17" t="s">
        <v>191</v>
      </c>
      <c r="O35" s="17" t="s">
        <v>192</v>
      </c>
      <c r="P35" s="17" t="s">
        <v>189</v>
      </c>
      <c r="Q35" s="101" t="s">
        <v>251</v>
      </c>
      <c r="R35" s="99" t="s">
        <v>252</v>
      </c>
    </row>
    <row r="36" spans="1:18" x14ac:dyDescent="0.25">
      <c r="C36" s="16" t="s">
        <v>6</v>
      </c>
      <c r="D36" s="17"/>
      <c r="E36" s="17" t="s">
        <v>32</v>
      </c>
      <c r="F36" s="17"/>
      <c r="G36" s="17" t="s">
        <v>28</v>
      </c>
      <c r="H36" s="17" t="s">
        <v>25</v>
      </c>
      <c r="I36" s="17" t="s">
        <v>22</v>
      </c>
      <c r="J36" s="17"/>
      <c r="K36" s="42" t="s">
        <v>18</v>
      </c>
      <c r="L36" s="17"/>
      <c r="M36" s="17" t="s">
        <v>14</v>
      </c>
      <c r="N36" s="17"/>
      <c r="O36" s="17" t="s">
        <v>10</v>
      </c>
      <c r="P36" s="17"/>
    </row>
    <row r="37" spans="1:18" x14ac:dyDescent="0.25">
      <c r="C37" s="16" t="s">
        <v>202</v>
      </c>
      <c r="D37" s="17" t="s">
        <v>40</v>
      </c>
      <c r="E37" s="17" t="s">
        <v>41</v>
      </c>
      <c r="F37" s="17" t="s">
        <v>40</v>
      </c>
      <c r="G37" s="17" t="s">
        <v>42</v>
      </c>
      <c r="H37" s="17" t="s">
        <v>40</v>
      </c>
      <c r="I37" s="17" t="s">
        <v>41</v>
      </c>
      <c r="J37" s="17" t="s">
        <v>40</v>
      </c>
      <c r="K37" s="17" t="s">
        <v>42</v>
      </c>
      <c r="L37" s="17" t="s">
        <v>40</v>
      </c>
      <c r="M37" s="17" t="s">
        <v>41</v>
      </c>
      <c r="N37" s="17" t="s">
        <v>40</v>
      </c>
      <c r="O37" s="17" t="s">
        <v>42</v>
      </c>
      <c r="P37" s="17" t="s">
        <v>40</v>
      </c>
      <c r="Q37" s="17" t="s">
        <v>41</v>
      </c>
      <c r="R37" s="17" t="s">
        <v>40</v>
      </c>
    </row>
    <row r="38" spans="1:18" x14ac:dyDescent="0.25"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5">
      <c r="B39" s="38">
        <f t="shared" ref="B39:B62" si="1">SUM(D39:P39)</f>
        <v>2153.8857610671203</v>
      </c>
      <c r="C39" s="20">
        <v>0</v>
      </c>
      <c r="D39" s="21">
        <f>('FREEVAL INPUT 2020 Hourly'!D39)*(1+$B$4)^($B$1-'FREEVAL INPUT 2020 Hourly'!$B$1)</f>
        <v>236.21459676855503</v>
      </c>
      <c r="E39" s="21">
        <f>('FREEVAL INPUT 2020 Hourly'!E39)*(1+$B$4)^($B$1-'FREEVAL INPUT 2020 Hourly'!$B$1)</f>
        <v>12.579475567556184</v>
      </c>
      <c r="F39" s="21">
        <f>('FREEVAL INPUT 2020 Hourly'!F39)*(1+$B$4)^($B$1-'FREEVAL INPUT 2020 Hourly'!$B$1)</f>
        <v>223.63512120099884</v>
      </c>
      <c r="G39" s="21">
        <f>('FREEVAL INPUT 2020 Hourly'!G39)*(1+$B$4)^($B$1-'FREEVAL INPUT 2020 Hourly'!$B$1)</f>
        <v>4.1931585225187282</v>
      </c>
      <c r="H39" s="21">
        <f>('FREEVAL INPUT 2020 Hourly'!H39)*(1+$B$4)^($B$1-'FREEVAL INPUT 2020 Hourly'!$B$1)</f>
        <v>227.82827972351757</v>
      </c>
      <c r="I39" s="21">
        <f>('FREEVAL INPUT 2020 Hourly'!I39)*(1+$B$4)^($B$1-'FREEVAL INPUT 2020 Hourly'!$B$1)</f>
        <v>32.14754867264358</v>
      </c>
      <c r="J39" s="21">
        <f>('FREEVAL INPUT 2020 Hourly'!J39)*(1+$B$4)^($B$1-'FREEVAL INPUT 2020 Hourly'!$B$1)</f>
        <v>195.68073105087399</v>
      </c>
      <c r="K39" s="21">
        <f>('FREEVAL INPUT 2020 Hourly'!K39)*(1+$B$4)^($B$1-'FREEVAL INPUT 2020 Hourly'!$B$1)</f>
        <v>127.19247518306808</v>
      </c>
      <c r="L39" s="21">
        <f>('FREEVAL INPUT 2020 Hourly'!L39)*(1+$B$4)^($B$1-'FREEVAL INPUT 2020 Hourly'!$B$1)</f>
        <v>322.87320623394203</v>
      </c>
      <c r="M39" s="21">
        <f>('FREEVAL INPUT 2020 Hourly'!M39)*(1+$B$4)^($B$1-'FREEVAL INPUT 2020 Hourly'!$B$1)</f>
        <v>25.158951135112368</v>
      </c>
      <c r="N39" s="21">
        <f>('FREEVAL INPUT 2020 Hourly'!N39)*(1+$B$4)^($B$1-'FREEVAL INPUT 2020 Hourly'!$B$1)</f>
        <v>297.71425509882971</v>
      </c>
      <c r="O39" s="21">
        <f>('FREEVAL INPUT 2020 Hourly'!O39)*(1+$B$4)^($B$1-'FREEVAL INPUT 2020 Hourly'!$B$1)</f>
        <v>75.47685340533711</v>
      </c>
      <c r="P39" s="21">
        <f>('FREEVAL INPUT 2020 Hourly'!P39)*(1+$B$4)^($B$1-'FREEVAL INPUT 2020 Hourly'!$B$1)</f>
        <v>373.19110850416683</v>
      </c>
      <c r="Q39" s="113">
        <f>('FREEVAL INPUT 2020 Hourly'!Q39)*(1+$B$4)^($B$1-'FREEVAL INPUT 2020 Hourly'!$B$1)</f>
        <v>23.761231627606129</v>
      </c>
      <c r="R39" s="21">
        <f>('FREEVAL INPUT 2020 Hourly'!R39)*(1+$B$4)^($B$1-'FREEVAL INPUT 2020 Hourly'!$B$1)</f>
        <v>349.42987687656074</v>
      </c>
    </row>
    <row r="40" spans="1:18" x14ac:dyDescent="0.25">
      <c r="B40" s="38">
        <f t="shared" si="1"/>
        <v>1358.583361296068</v>
      </c>
      <c r="C40" s="20">
        <v>4.1666666666666664E-2</v>
      </c>
      <c r="D40" s="21">
        <f>('FREEVAL INPUT 2020 Hourly'!D40)*(1+$B$4)^($B$1-'FREEVAL INPUT 2020 Hourly'!$B$1)</f>
        <v>141.16967025813051</v>
      </c>
      <c r="E40" s="21">
        <f>('FREEVAL INPUT 2020 Hourly'!E40)*(1+$B$4)^($B$1-'FREEVAL INPUT 2020 Hourly'!$B$1)</f>
        <v>12.579475567556184</v>
      </c>
      <c r="F40" s="21">
        <f>('FREEVAL INPUT 2020 Hourly'!F40)*(1+$B$4)^($B$1-'FREEVAL INPUT 2020 Hourly'!$B$1)</f>
        <v>128.59019469057432</v>
      </c>
      <c r="G40" s="21">
        <f>('FREEVAL INPUT 2020 Hourly'!G40)*(1+$B$4)^($B$1-'FREEVAL INPUT 2020 Hourly'!$B$1)</f>
        <v>8.3863170450374565</v>
      </c>
      <c r="H40" s="21">
        <f>('FREEVAL INPUT 2020 Hourly'!H40)*(1+$B$4)^($B$1-'FREEVAL INPUT 2020 Hourly'!$B$1)</f>
        <v>136.97651173561178</v>
      </c>
      <c r="I40" s="21">
        <f>('FREEVAL INPUT 2020 Hourly'!I40)*(1+$B$4)^($B$1-'FREEVAL INPUT 2020 Hourly'!$B$1)</f>
        <v>16.772634090074913</v>
      </c>
      <c r="J40" s="21">
        <f>('FREEVAL INPUT 2020 Hourly'!J40)*(1+$B$4)^($B$1-'FREEVAL INPUT 2020 Hourly'!$B$1)</f>
        <v>120.20387764553688</v>
      </c>
      <c r="K40" s="21">
        <f>('FREEVAL INPUT 2020 Hourly'!K40)*(1+$B$4)^($B$1-'FREEVAL INPUT 2020 Hourly'!$B$1)</f>
        <v>79.670011927855839</v>
      </c>
      <c r="L40" s="21">
        <f>('FREEVAL INPUT 2020 Hourly'!L40)*(1+$B$4)^($B$1-'FREEVAL INPUT 2020 Hourly'!$B$1)</f>
        <v>199.87388957339269</v>
      </c>
      <c r="M40" s="21">
        <f>('FREEVAL INPUT 2020 Hourly'!M40)*(1+$B$4)^($B$1-'FREEVAL INPUT 2020 Hourly'!$B$1)</f>
        <v>13.977195075062427</v>
      </c>
      <c r="N40" s="21">
        <f>('FREEVAL INPUT 2020 Hourly'!N40)*(1+$B$4)^($B$1-'FREEVAL INPUT 2020 Hourly'!$B$1)</f>
        <v>185.89669449833028</v>
      </c>
      <c r="O40" s="21">
        <f>('FREEVAL INPUT 2020 Hourly'!O40)*(1+$B$4)^($B$1-'FREEVAL INPUT 2020 Hourly'!$B$1)</f>
        <v>64.295097345287161</v>
      </c>
      <c r="P40" s="21">
        <f>('FREEVAL INPUT 2020 Hourly'!P40)*(1+$B$4)^($B$1-'FREEVAL INPUT 2020 Hourly'!$B$1)</f>
        <v>250.19179184361747</v>
      </c>
      <c r="Q40" s="113">
        <f>('FREEVAL INPUT 2020 Hourly'!Q40)*(1+$B$4)^($B$1-'FREEVAL INPUT 2020 Hourly'!$B$1)</f>
        <v>18.170353597581155</v>
      </c>
      <c r="R40" s="21">
        <f>('FREEVAL INPUT 2020 Hourly'!R40)*(1+$B$4)^($B$1-'FREEVAL INPUT 2020 Hourly'!$B$1)</f>
        <v>232.0214382460363</v>
      </c>
    </row>
    <row r="41" spans="1:18" x14ac:dyDescent="0.25">
      <c r="B41" s="38">
        <f t="shared" si="1"/>
        <v>1522.1165436742983</v>
      </c>
      <c r="C41" s="20">
        <v>8.3333333333333301E-2</v>
      </c>
      <c r="D41" s="21">
        <f>('FREEVAL INPUT 2020 Hourly'!D41)*(1+$B$4)^($B$1-'FREEVAL INPUT 2020 Hourly'!$B$1)</f>
        <v>169.12406040825536</v>
      </c>
      <c r="E41" s="21">
        <f>('FREEVAL INPUT 2020 Hourly'!E41)*(1+$B$4)^($B$1-'FREEVAL INPUT 2020 Hourly'!$B$1)</f>
        <v>6.9885975375312137</v>
      </c>
      <c r="F41" s="21">
        <f>('FREEVAL INPUT 2020 Hourly'!F41)*(1+$B$4)^($B$1-'FREEVAL INPUT 2020 Hourly'!$B$1)</f>
        <v>162.13546287072415</v>
      </c>
      <c r="G41" s="21">
        <f>('FREEVAL INPUT 2020 Hourly'!G41)*(1+$B$4)^($B$1-'FREEVAL INPUT 2020 Hourly'!$B$1)</f>
        <v>11.181756060049942</v>
      </c>
      <c r="H41" s="21">
        <f>('FREEVAL INPUT 2020 Hourly'!H41)*(1+$B$4)^($B$1-'FREEVAL INPUT 2020 Hourly'!$B$1)</f>
        <v>173.31721893077412</v>
      </c>
      <c r="I41" s="21">
        <f>('FREEVAL INPUT 2020 Hourly'!I41)*(1+$B$4)^($B$1-'FREEVAL INPUT 2020 Hourly'!$B$1)</f>
        <v>15.374914582568669</v>
      </c>
      <c r="J41" s="21">
        <f>('FREEVAL INPUT 2020 Hourly'!J41)*(1+$B$4)^($B$1-'FREEVAL INPUT 2020 Hourly'!$B$1)</f>
        <v>157.94230434820543</v>
      </c>
      <c r="K41" s="21">
        <f>('FREEVAL INPUT 2020 Hourly'!K41)*(1+$B$4)^($B$1-'FREEVAL INPUT 2020 Hourly'!$B$1)</f>
        <v>62.897377837780923</v>
      </c>
      <c r="L41" s="21">
        <f>('FREEVAL INPUT 2020 Hourly'!L41)*(1+$B$4)^($B$1-'FREEVAL INPUT 2020 Hourly'!$B$1)</f>
        <v>220.83968218598636</v>
      </c>
      <c r="M41" s="21">
        <f>('FREEVAL INPUT 2020 Hourly'!M41)*(1+$B$4)^($B$1-'FREEVAL INPUT 2020 Hourly'!$B$1)</f>
        <v>13.977195075062427</v>
      </c>
      <c r="N41" s="21">
        <f>('FREEVAL INPUT 2020 Hourly'!N41)*(1+$B$4)^($B$1-'FREEVAL INPUT 2020 Hourly'!$B$1)</f>
        <v>206.86248711092392</v>
      </c>
      <c r="O41" s="21">
        <f>('FREEVAL INPUT 2020 Hourly'!O41)*(1+$B$4)^($B$1-'FREEVAL INPUT 2020 Hourly'!$B$1)</f>
        <v>57.306499807755955</v>
      </c>
      <c r="P41" s="21">
        <f>('FREEVAL INPUT 2020 Hourly'!P41)*(1+$B$4)^($B$1-'FREEVAL INPUT 2020 Hourly'!$B$1)</f>
        <v>264.16898691867988</v>
      </c>
      <c r="Q41" s="113">
        <f>('FREEVAL INPUT 2020 Hourly'!Q41)*(1+$B$4)^($B$1-'FREEVAL INPUT 2020 Hourly'!$B$1)</f>
        <v>16.772634090074913</v>
      </c>
      <c r="R41" s="21">
        <f>('FREEVAL INPUT 2020 Hourly'!R41)*(1+$B$4)^($B$1-'FREEVAL INPUT 2020 Hourly'!$B$1)</f>
        <v>247.39635282860496</v>
      </c>
    </row>
    <row r="42" spans="1:18" x14ac:dyDescent="0.25">
      <c r="B42" s="38">
        <f t="shared" si="1"/>
        <v>2028.0910053915582</v>
      </c>
      <c r="C42" s="20">
        <v>0.125</v>
      </c>
      <c r="D42" s="21">
        <f>('FREEVAL INPUT 2020 Hourly'!D42)*(1+$B$4)^($B$1-'FREEVAL INPUT 2020 Hourly'!$B$1)</f>
        <v>223.63512120099884</v>
      </c>
      <c r="E42" s="21">
        <f>('FREEVAL INPUT 2020 Hourly'!E42)*(1+$B$4)^($B$1-'FREEVAL INPUT 2020 Hourly'!$B$1)</f>
        <v>12.579475567556184</v>
      </c>
      <c r="F42" s="21">
        <f>('FREEVAL INPUT 2020 Hourly'!F42)*(1+$B$4)^($B$1-'FREEVAL INPUT 2020 Hourly'!$B$1)</f>
        <v>211.05564563344265</v>
      </c>
      <c r="G42" s="21">
        <f>('FREEVAL INPUT 2020 Hourly'!G42)*(1+$B$4)^($B$1-'FREEVAL INPUT 2020 Hourly'!$B$1)</f>
        <v>13.977195075062427</v>
      </c>
      <c r="H42" s="21">
        <f>('FREEVAL INPUT 2020 Hourly'!H42)*(1+$B$4)^($B$1-'FREEVAL INPUT 2020 Hourly'!$B$1)</f>
        <v>225.03284070850506</v>
      </c>
      <c r="I42" s="21">
        <f>('FREEVAL INPUT 2020 Hourly'!I42)*(1+$B$4)^($B$1-'FREEVAL INPUT 2020 Hourly'!$B$1)</f>
        <v>19.5680731050874</v>
      </c>
      <c r="J42" s="21">
        <f>('FREEVAL INPUT 2020 Hourly'!J42)*(1+$B$4)^($B$1-'FREEVAL INPUT 2020 Hourly'!$B$1)</f>
        <v>205.4647676034177</v>
      </c>
      <c r="K42" s="21">
        <f>('FREEVAL INPUT 2020 Hourly'!K42)*(1+$B$4)^($B$1-'FREEVAL INPUT 2020 Hourly'!$B$1)</f>
        <v>96.442646017930741</v>
      </c>
      <c r="L42" s="21">
        <f>('FREEVAL INPUT 2020 Hourly'!L42)*(1+$B$4)^($B$1-'FREEVAL INPUT 2020 Hourly'!$B$1)</f>
        <v>301.90741362134844</v>
      </c>
      <c r="M42" s="21">
        <f>('FREEVAL INPUT 2020 Hourly'!M42)*(1+$B$4)^($B$1-'FREEVAL INPUT 2020 Hourly'!$B$1)</f>
        <v>55.90878030024971</v>
      </c>
      <c r="N42" s="21">
        <f>('FREEVAL INPUT 2020 Hourly'!N42)*(1+$B$4)^($B$1-'FREEVAL INPUT 2020 Hourly'!$B$1)</f>
        <v>245.99863332109871</v>
      </c>
      <c r="O42" s="21">
        <f>('FREEVAL INPUT 2020 Hourly'!O42)*(1+$B$4)^($B$1-'FREEVAL INPUT 2020 Hourly'!$B$1)</f>
        <v>85.260889957880806</v>
      </c>
      <c r="P42" s="21">
        <f>('FREEVAL INPUT 2020 Hourly'!P42)*(1+$B$4)^($B$1-'FREEVAL INPUT 2020 Hourly'!$B$1)</f>
        <v>331.25952327897949</v>
      </c>
      <c r="Q42" s="113">
        <f>('FREEVAL INPUT 2020 Hourly'!Q42)*(1+$B$4)^($B$1-'FREEVAL INPUT 2020 Hourly'!$B$1)</f>
        <v>19.5680731050874</v>
      </c>
      <c r="R42" s="21">
        <f>('FREEVAL INPUT 2020 Hourly'!R42)*(1+$B$4)^($B$1-'FREEVAL INPUT 2020 Hourly'!$B$1)</f>
        <v>311.69145017389212</v>
      </c>
    </row>
    <row r="43" spans="1:18" x14ac:dyDescent="0.25">
      <c r="B43" s="38">
        <f t="shared" si="1"/>
        <v>5027.5970684999547</v>
      </c>
      <c r="C43" s="20">
        <v>0.16666666666666699</v>
      </c>
      <c r="D43" s="21">
        <f>('FREEVAL INPUT 2020 Hourly'!D43)*(1+$B$4)^($B$1-'FREEVAL INPUT 2020 Hourly'!$B$1)</f>
        <v>528.33797383735975</v>
      </c>
      <c r="E43" s="21">
        <f>('FREEVAL INPUT 2020 Hourly'!E43)*(1+$B$4)^($B$1-'FREEVAL INPUT 2020 Hourly'!$B$1)</f>
        <v>8.3863170450374565</v>
      </c>
      <c r="F43" s="21">
        <f>('FREEVAL INPUT 2020 Hourly'!F43)*(1+$B$4)^($B$1-'FREEVAL INPUT 2020 Hourly'!$B$1)</f>
        <v>519.9516567923223</v>
      </c>
      <c r="G43" s="21">
        <f>('FREEVAL INPUT 2020 Hourly'!G43)*(1+$B$4)^($B$1-'FREEVAL INPUT 2020 Hourly'!$B$1)</f>
        <v>26.556670642618613</v>
      </c>
      <c r="H43" s="21">
        <f>('FREEVAL INPUT 2020 Hourly'!H43)*(1+$B$4)^($B$1-'FREEVAL INPUT 2020 Hourly'!$B$1)</f>
        <v>546.50832743494095</v>
      </c>
      <c r="I43" s="21">
        <f>('FREEVAL INPUT 2020 Hourly'!I43)*(1+$B$4)^($B$1-'FREEVAL INPUT 2020 Hourly'!$B$1)</f>
        <v>53.113341285237226</v>
      </c>
      <c r="J43" s="21">
        <f>('FREEVAL INPUT 2020 Hourly'!J43)*(1+$B$4)^($B$1-'FREEVAL INPUT 2020 Hourly'!$B$1)</f>
        <v>493.39498614970364</v>
      </c>
      <c r="K43" s="21">
        <f>('FREEVAL INPUT 2020 Hourly'!K43)*(1+$B$4)^($B$1-'FREEVAL INPUT 2020 Hourly'!$B$1)</f>
        <v>247.39635282860496</v>
      </c>
      <c r="L43" s="21">
        <f>('FREEVAL INPUT 2020 Hourly'!L43)*(1+$B$4)^($B$1-'FREEVAL INPUT 2020 Hourly'!$B$1)</f>
        <v>740.79133897830866</v>
      </c>
      <c r="M43" s="21">
        <f>('FREEVAL INPUT 2020 Hourly'!M43)*(1+$B$4)^($B$1-'FREEVAL INPUT 2020 Hourly'!$B$1)</f>
        <v>43.329304732693529</v>
      </c>
      <c r="N43" s="21">
        <f>('FREEVAL INPUT 2020 Hourly'!N43)*(1+$B$4)^($B$1-'FREEVAL INPUT 2020 Hourly'!$B$1)</f>
        <v>697.4620342456152</v>
      </c>
      <c r="O43" s="21">
        <f>('FREEVAL INPUT 2020 Hourly'!O43)*(1+$B$4)^($B$1-'FREEVAL INPUT 2020 Hourly'!$B$1)</f>
        <v>212.4533651409489</v>
      </c>
      <c r="P43" s="21">
        <f>('FREEVAL INPUT 2020 Hourly'!P43)*(1+$B$4)^($B$1-'FREEVAL INPUT 2020 Hourly'!$B$1)</f>
        <v>909.9153993865641</v>
      </c>
      <c r="Q43" s="113">
        <f>('FREEVAL INPUT 2020 Hourly'!Q43)*(1+$B$4)^($B$1-'FREEVAL INPUT 2020 Hourly'!$B$1)</f>
        <v>27.954390150124855</v>
      </c>
      <c r="R43" s="21">
        <f>('FREEVAL INPUT 2020 Hourly'!R43)*(1+$B$4)^($B$1-'FREEVAL INPUT 2020 Hourly'!$B$1)</f>
        <v>881.96100923643917</v>
      </c>
    </row>
    <row r="44" spans="1:18" x14ac:dyDescent="0.25">
      <c r="B44" s="38">
        <f t="shared" si="1"/>
        <v>16077.967494844312</v>
      </c>
      <c r="C44" s="20">
        <v>0.20833333333333301</v>
      </c>
      <c r="D44" s="21">
        <f>('FREEVAL INPUT 2020 Hourly'!D44)*(1+$B$4)^($B$1-'FREEVAL INPUT 2020 Hourly'!$B$1)</f>
        <v>1631.1386652597853</v>
      </c>
      <c r="E44" s="21">
        <f>('FREEVAL INPUT 2020 Hourly'!E44)*(1+$B$4)^($B$1-'FREEVAL INPUT 2020 Hourly'!$B$1)</f>
        <v>25.158951135112368</v>
      </c>
      <c r="F44" s="21">
        <f>('FREEVAL INPUT 2020 Hourly'!F44)*(1+$B$4)^($B$1-'FREEVAL INPUT 2020 Hourly'!$B$1)</f>
        <v>1605.9797141246729</v>
      </c>
      <c r="G44" s="21">
        <f>('FREEVAL INPUT 2020 Hourly'!G44)*(1+$B$4)^($B$1-'FREEVAL INPUT 2020 Hourly'!$B$1)</f>
        <v>121.60159715304312</v>
      </c>
      <c r="H44" s="21">
        <f>('FREEVAL INPUT 2020 Hourly'!H44)*(1+$B$4)^($B$1-'FREEVAL INPUT 2020 Hourly'!$B$1)</f>
        <v>1727.5813112777159</v>
      </c>
      <c r="I44" s="21">
        <f>('FREEVAL INPUT 2020 Hourly'!I44)*(1+$B$4)^($B$1-'FREEVAL INPUT 2020 Hourly'!$B$1)</f>
        <v>125.79475567556185</v>
      </c>
      <c r="J44" s="21">
        <f>('FREEVAL INPUT 2020 Hourly'!J44)*(1+$B$4)^($B$1-'FREEVAL INPUT 2020 Hourly'!$B$1)</f>
        <v>1601.7865556021541</v>
      </c>
      <c r="K44" s="21">
        <f>('FREEVAL INPUT 2020 Hourly'!K44)*(1+$B$4)^($B$1-'FREEVAL INPUT 2020 Hourly'!$B$1)</f>
        <v>813.47275336863333</v>
      </c>
      <c r="L44" s="21">
        <f>('FREEVAL INPUT 2020 Hourly'!L44)*(1+$B$4)^($B$1-'FREEVAL INPUT 2020 Hourly'!$B$1)</f>
        <v>2415.2593089707875</v>
      </c>
      <c r="M44" s="21">
        <f>('FREEVAL INPUT 2020 Hourly'!M44)*(1+$B$4)^($B$1-'FREEVAL INPUT 2020 Hourly'!$B$1)</f>
        <v>92.249487495412012</v>
      </c>
      <c r="N44" s="21">
        <f>('FREEVAL INPUT 2020 Hourly'!N44)*(1+$B$4)^($B$1-'FREEVAL INPUT 2020 Hourly'!$B$1)</f>
        <v>2323.0098214753757</v>
      </c>
      <c r="O44" s="21">
        <f>('FREEVAL INPUT 2020 Hourly'!O44)*(1+$B$4)^($B$1-'FREEVAL INPUT 2020 Hourly'!$B$1)</f>
        <v>635.96237591534043</v>
      </c>
      <c r="P44" s="21">
        <f>('FREEVAL INPUT 2020 Hourly'!P44)*(1+$B$4)^($B$1-'FREEVAL INPUT 2020 Hourly'!$B$1)</f>
        <v>2958.9721973907158</v>
      </c>
      <c r="Q44" s="113">
        <f>('FREEVAL INPUT 2020 Hourly'!Q44)*(1+$B$4)^($B$1-'FREEVAL INPUT 2020 Hourly'!$B$1)</f>
        <v>54.511060792743464</v>
      </c>
      <c r="R44" s="21">
        <f>('FREEVAL INPUT 2020 Hourly'!R44)*(1+$B$4)^($B$1-'FREEVAL INPUT 2020 Hourly'!$B$1)</f>
        <v>2904.4611365979727</v>
      </c>
    </row>
    <row r="45" spans="1:18" s="52" customFormat="1" x14ac:dyDescent="0.25">
      <c r="B45" s="38">
        <f t="shared" si="1"/>
        <v>30944.112176680712</v>
      </c>
      <c r="C45" s="50">
        <v>0.25</v>
      </c>
      <c r="D45" s="21">
        <f>('FREEVAL INPUT 2020 Hourly'!D45)*(1+$B$4)^($B$1-'FREEVAL INPUT 2020 Hourly'!$B$1)</f>
        <v>2965.9607949282467</v>
      </c>
      <c r="E45" s="21">
        <f>('FREEVAL INPUT 2020 Hourly'!E45)*(1+$B$4)^($B$1-'FREEVAL INPUT 2020 Hourly'!$B$1)</f>
        <v>99.238085032943218</v>
      </c>
      <c r="F45" s="21">
        <f>('FREEVAL INPUT 2020 Hourly'!F45)*(1+$B$4)^($B$1-'FREEVAL INPUT 2020 Hourly'!$B$1)</f>
        <v>2866.7227098953035</v>
      </c>
      <c r="G45" s="21">
        <f>('FREEVAL INPUT 2020 Hourly'!G45)*(1+$B$4)^($B$1-'FREEVAL INPUT 2020 Hourly'!$B$1)</f>
        <v>368.99794998164805</v>
      </c>
      <c r="H45" s="21">
        <f>('FREEVAL INPUT 2020 Hourly'!H45)*(1+$B$4)^($B$1-'FREEVAL INPUT 2020 Hourly'!$B$1)</f>
        <v>3235.7206598769521</v>
      </c>
      <c r="I45" s="21">
        <f>('FREEVAL INPUT 2020 Hourly'!I45)*(1+$B$4)^($B$1-'FREEVAL INPUT 2020 Hourly'!$B$1)</f>
        <v>282.33934051626102</v>
      </c>
      <c r="J45" s="21">
        <f>('FREEVAL INPUT 2020 Hourly'!J45)*(1+$B$4)^($B$1-'FREEVAL INPUT 2020 Hourly'!$B$1)</f>
        <v>2953.3813193606911</v>
      </c>
      <c r="K45" s="21">
        <f>('FREEVAL INPUT 2020 Hourly'!K45)*(1+$B$4)^($B$1-'FREEVAL INPUT 2020 Hourly'!$B$1)</f>
        <v>1681.45656753001</v>
      </c>
      <c r="L45" s="21">
        <f>('FREEVAL INPUT 2020 Hourly'!L45)*(1+$B$4)^($B$1-'FREEVAL INPUT 2020 Hourly'!$B$1)</f>
        <v>4634.8378868907012</v>
      </c>
      <c r="M45" s="21">
        <f>('FREEVAL INPUT 2020 Hourly'!M45)*(1+$B$4)^($B$1-'FREEVAL INPUT 2020 Hourly'!$B$1)</f>
        <v>170.52177991576161</v>
      </c>
      <c r="N45" s="21">
        <f>('FREEVAL INPUT 2020 Hourly'!N45)*(1+$B$4)^($B$1-'FREEVAL INPUT 2020 Hourly'!$B$1)</f>
        <v>4464.3161069749394</v>
      </c>
      <c r="O45" s="21">
        <f>('FREEVAL INPUT 2020 Hourly'!O45)*(1+$B$4)^($B$1-'FREEVAL INPUT 2020 Hourly'!$B$1)</f>
        <v>1378.1514344011555</v>
      </c>
      <c r="P45" s="21">
        <f>('FREEVAL INPUT 2020 Hourly'!P45)*(1+$B$4)^($B$1-'FREEVAL INPUT 2020 Hourly'!$B$1)</f>
        <v>5842.4675413760951</v>
      </c>
      <c r="Q45" s="113">
        <f>('FREEVAL INPUT 2020 Hourly'!Q45)*(1+$B$4)^($B$1-'FREEVAL INPUT 2020 Hourly'!$B$1)</f>
        <v>90.851767987905788</v>
      </c>
      <c r="R45" s="21">
        <f>('FREEVAL INPUT 2020 Hourly'!R45)*(1+$B$4)^($B$1-'FREEVAL INPUT 2020 Hourly'!$B$1)</f>
        <v>5751.6157733881892</v>
      </c>
    </row>
    <row r="46" spans="1:18" s="51" customFormat="1" x14ac:dyDescent="0.25">
      <c r="A46" s="102" t="s">
        <v>242</v>
      </c>
      <c r="B46" s="39">
        <f t="shared" si="1"/>
        <v>28461</v>
      </c>
      <c r="C46" s="40">
        <v>0.29166666666666702</v>
      </c>
      <c r="D46" s="44">
        <v>2665</v>
      </c>
      <c r="E46" s="44">
        <v>318</v>
      </c>
      <c r="F46" s="44">
        <v>2347</v>
      </c>
      <c r="G46" s="44">
        <v>572</v>
      </c>
      <c r="H46" s="44">
        <v>2919</v>
      </c>
      <c r="I46" s="44">
        <v>478</v>
      </c>
      <c r="J46" s="44">
        <v>2441</v>
      </c>
      <c r="K46" s="44">
        <v>1722</v>
      </c>
      <c r="L46" s="44">
        <v>4213</v>
      </c>
      <c r="M46" s="44">
        <v>404</v>
      </c>
      <c r="N46" s="44">
        <v>3809</v>
      </c>
      <c r="O46" s="44">
        <v>1382</v>
      </c>
      <c r="P46" s="44">
        <v>5191</v>
      </c>
      <c r="Q46" s="44">
        <v>86</v>
      </c>
      <c r="R46" s="44">
        <v>5105</v>
      </c>
    </row>
    <row r="47" spans="1:18" x14ac:dyDescent="0.25">
      <c r="B47" s="38">
        <f t="shared" si="1"/>
        <v>23529.210189360092</v>
      </c>
      <c r="C47" s="20">
        <v>0.33333333333333298</v>
      </c>
      <c r="D47" s="21">
        <f>('FREEVAL INPUT 2020 Hourly'!D47)*(1+$B$4)^($B$1-'FREEVAL INPUT 2020 Hourly'!$B$1)</f>
        <v>2195.8173462923073</v>
      </c>
      <c r="E47" s="21">
        <f>('FREEVAL INPUT 2020 Hourly'!E47)*(1+$B$4)^($B$1-'FREEVAL INPUT 2020 Hourly'!$B$1)</f>
        <v>164.93090188573666</v>
      </c>
      <c r="F47" s="21">
        <f>('FREEVAL INPUT 2020 Hourly'!F47)*(1+$B$4)^($B$1-'FREEVAL INPUT 2020 Hourly'!$B$1)</f>
        <v>2030.8864444065705</v>
      </c>
      <c r="G47" s="21">
        <f>('FREEVAL INPUT 2020 Hourly'!G47)*(1+$B$4)^($B$1-'FREEVAL INPUT 2020 Hourly'!$B$1)</f>
        <v>293.52109657631098</v>
      </c>
      <c r="H47" s="21">
        <f>('FREEVAL INPUT 2020 Hourly'!H47)*(1+$B$4)^($B$1-'FREEVAL INPUT 2020 Hourly'!$B$1)</f>
        <v>2324.407540982882</v>
      </c>
      <c r="I47" s="21">
        <f>('FREEVAL INPUT 2020 Hourly'!I47)*(1+$B$4)^($B$1-'FREEVAL INPUT 2020 Hourly'!$B$1)</f>
        <v>355.02075490658564</v>
      </c>
      <c r="J47" s="21">
        <f>('FREEVAL INPUT 2020 Hourly'!J47)*(1+$B$4)^($B$1-'FREEVAL INPUT 2020 Hourly'!$B$1)</f>
        <v>1969.3867860762959</v>
      </c>
      <c r="K47" s="21">
        <f>('FREEVAL INPUT 2020 Hourly'!K47)*(1+$B$4)^($B$1-'FREEVAL INPUT 2020 Hourly'!$B$1)</f>
        <v>1517.9233851517797</v>
      </c>
      <c r="L47" s="21">
        <f>('FREEVAL INPUT 2020 Hourly'!L47)*(1+$B$4)^($B$1-'FREEVAL INPUT 2020 Hourly'!$B$1)</f>
        <v>3487.3101712280754</v>
      </c>
      <c r="M47" s="21">
        <f>('FREEVAL INPUT 2020 Hourly'!M47)*(1+$B$4)^($B$1-'FREEVAL INPUT 2020 Hourly'!$B$1)</f>
        <v>213.85108464845516</v>
      </c>
      <c r="N47" s="21">
        <f>('FREEVAL INPUT 2020 Hourly'!N47)*(1+$B$4)^($B$1-'FREEVAL INPUT 2020 Hourly'!$B$1)</f>
        <v>3273.4590865796208</v>
      </c>
      <c r="O47" s="21">
        <f>('FREEVAL INPUT 2020 Hourly'!O47)*(1+$B$4)^($B$1-'FREEVAL INPUT 2020 Hourly'!$B$1)</f>
        <v>1214.6182520229249</v>
      </c>
      <c r="P47" s="21">
        <f>('FREEVAL INPUT 2020 Hourly'!P47)*(1+$B$4)^($B$1-'FREEVAL INPUT 2020 Hourly'!$B$1)</f>
        <v>4488.0773386025448</v>
      </c>
      <c r="Q47" s="113">
        <f>('FREEVAL INPUT 2020 Hourly'!Q47)*(1+$B$4)^($B$1-'FREEVAL INPUT 2020 Hourly'!$B$1)</f>
        <v>106.22668257047445</v>
      </c>
      <c r="R47" s="21">
        <f>('FREEVAL INPUT 2020 Hourly'!R47)*(1+$B$4)^($B$1-'FREEVAL INPUT 2020 Hourly'!$B$1)</f>
        <v>4381.8506560320711</v>
      </c>
    </row>
    <row r="48" spans="1:18" x14ac:dyDescent="0.25">
      <c r="B48" s="38">
        <f t="shared" si="1"/>
        <v>18044.558841905589</v>
      </c>
      <c r="C48" s="20">
        <v>0.375</v>
      </c>
      <c r="D48" s="21">
        <f>('FREEVAL INPUT 2020 Hourly'!D48)*(1+$B$4)^($B$1-'FREEVAL INPUT 2020 Hourly'!$B$1)</f>
        <v>1811.4444817280905</v>
      </c>
      <c r="E48" s="21">
        <f>('FREEVAL INPUT 2020 Hourly'!E48)*(1+$B$4)^($B$1-'FREEVAL INPUT 2020 Hourly'!$B$1)</f>
        <v>122.99931666054935</v>
      </c>
      <c r="F48" s="21">
        <f>('FREEVAL INPUT 2020 Hourly'!F48)*(1+$B$4)^($B$1-'FREEVAL INPUT 2020 Hourly'!$B$1)</f>
        <v>1688.4451650675412</v>
      </c>
      <c r="G48" s="21">
        <f>('FREEVAL INPUT 2020 Hourly'!G48)*(1+$B$4)^($B$1-'FREEVAL INPUT 2020 Hourly'!$B$1)</f>
        <v>145.36282878064924</v>
      </c>
      <c r="H48" s="21">
        <f>('FREEVAL INPUT 2020 Hourly'!H48)*(1+$B$4)^($B$1-'FREEVAL INPUT 2020 Hourly'!$B$1)</f>
        <v>1833.8079938481906</v>
      </c>
      <c r="I48" s="21">
        <f>('FREEVAL INPUT 2020 Hourly'!I48)*(1+$B$4)^($B$1-'FREEVAL INPUT 2020 Hourly'!$B$1)</f>
        <v>306.10057214386717</v>
      </c>
      <c r="J48" s="21">
        <f>('FREEVAL INPUT 2020 Hourly'!J48)*(1+$B$4)^($B$1-'FREEVAL INPUT 2020 Hourly'!$B$1)</f>
        <v>1527.7074217043232</v>
      </c>
      <c r="K48" s="21">
        <f>('FREEVAL INPUT 2020 Hourly'!K48)*(1+$B$4)^($B$1-'FREEVAL INPUT 2020 Hourly'!$B$1)</f>
        <v>1130.7550815725504</v>
      </c>
      <c r="L48" s="21">
        <f>('FREEVAL INPUT 2020 Hourly'!L48)*(1+$B$4)^($B$1-'FREEVAL INPUT 2020 Hourly'!$B$1)</f>
        <v>2658.4625032768736</v>
      </c>
      <c r="M48" s="21">
        <f>('FREEVAL INPUT 2020 Hourly'!M48)*(1+$B$4)^($B$1-'FREEVAL INPUT 2020 Hourly'!$B$1)</f>
        <v>306.10057214386717</v>
      </c>
      <c r="N48" s="21">
        <f>('FREEVAL INPUT 2020 Hourly'!N48)*(1+$B$4)^($B$1-'FREEVAL INPUT 2020 Hourly'!$B$1)</f>
        <v>2352.3619311330062</v>
      </c>
      <c r="O48" s="21">
        <f>('FREEVAL INPUT 2020 Hourly'!O48)*(1+$B$4)^($B$1-'FREEVAL INPUT 2020 Hourly'!$B$1)</f>
        <v>904.32452135653909</v>
      </c>
      <c r="P48" s="21">
        <f>('FREEVAL INPUT 2020 Hourly'!P48)*(1+$B$4)^($B$1-'FREEVAL INPUT 2020 Hourly'!$B$1)</f>
        <v>3256.6864524895454</v>
      </c>
      <c r="Q48" s="113">
        <f>('FREEVAL INPUT 2020 Hourly'!Q48)*(1+$B$4)^($B$1-'FREEVAL INPUT 2020 Hourly'!$B$1)</f>
        <v>116.01071912301815</v>
      </c>
      <c r="R48" s="21">
        <f>('FREEVAL INPUT 2020 Hourly'!R48)*(1+$B$4)^($B$1-'FREEVAL INPUT 2020 Hourly'!$B$1)</f>
        <v>3140.6757333665273</v>
      </c>
    </row>
    <row r="49" spans="1:18" x14ac:dyDescent="0.25">
      <c r="B49" s="38">
        <f t="shared" si="1"/>
        <v>16683.180041594511</v>
      </c>
      <c r="C49" s="20">
        <v>0.41666666666666702</v>
      </c>
      <c r="D49" s="21">
        <f>('FREEVAL INPUT 2020 Hourly'!D49)*(1+$B$4)^($B$1-'FREEVAL INPUT 2020 Hourly'!$B$1)</f>
        <v>1716.3995552176659</v>
      </c>
      <c r="E49" s="21">
        <f>('FREEVAL INPUT 2020 Hourly'!E49)*(1+$B$4)^($B$1-'FREEVAL INPUT 2020 Hourly'!$B$1)</f>
        <v>141.16967025813051</v>
      </c>
      <c r="F49" s="21">
        <f>('FREEVAL INPUT 2020 Hourly'!F49)*(1+$B$4)^($B$1-'FREEVAL INPUT 2020 Hourly'!$B$1)</f>
        <v>1575.2298849595356</v>
      </c>
      <c r="G49" s="21">
        <f>('FREEVAL INPUT 2020 Hourly'!G49)*(1+$B$4)^($B$1-'FREEVAL INPUT 2020 Hourly'!$B$1)</f>
        <v>109.02212158548693</v>
      </c>
      <c r="H49" s="21">
        <f>('FREEVAL INPUT 2020 Hourly'!H49)*(1+$B$4)^($B$1-'FREEVAL INPUT 2020 Hourly'!$B$1)</f>
        <v>1684.2520065450226</v>
      </c>
      <c r="I49" s="21">
        <f>('FREEVAL INPUT 2020 Hourly'!I49)*(1+$B$4)^($B$1-'FREEVAL INPUT 2020 Hourly'!$B$1)</f>
        <v>310.2937306663859</v>
      </c>
      <c r="J49" s="21">
        <f>('FREEVAL INPUT 2020 Hourly'!J49)*(1+$B$4)^($B$1-'FREEVAL INPUT 2020 Hourly'!$B$1)</f>
        <v>1373.9582758786366</v>
      </c>
      <c r="K49" s="21">
        <f>('FREEVAL INPUT 2020 Hourly'!K49)*(1+$B$4)^($B$1-'FREEVAL INPUT 2020 Hourly'!$B$1)</f>
        <v>1030.1192770321009</v>
      </c>
      <c r="L49" s="21">
        <f>('FREEVAL INPUT 2020 Hourly'!L49)*(1+$B$4)^($B$1-'FREEVAL INPUT 2020 Hourly'!$B$1)</f>
        <v>2404.0775529107373</v>
      </c>
      <c r="M49" s="21">
        <f>('FREEVAL INPUT 2020 Hourly'!M49)*(1+$B$4)^($B$1-'FREEVAL INPUT 2020 Hourly'!$B$1)</f>
        <v>171.91949942326787</v>
      </c>
      <c r="N49" s="21">
        <f>('FREEVAL INPUT 2020 Hourly'!N49)*(1+$B$4)^($B$1-'FREEVAL INPUT 2020 Hourly'!$B$1)</f>
        <v>2232.1580534874697</v>
      </c>
      <c r="O49" s="21">
        <f>('FREEVAL INPUT 2020 Hourly'!O49)*(1+$B$4)^($B$1-'FREEVAL INPUT 2020 Hourly'!$B$1)</f>
        <v>851.2111800713019</v>
      </c>
      <c r="P49" s="21">
        <f>('FREEVAL INPUT 2020 Hourly'!P49)*(1+$B$4)^($B$1-'FREEVAL INPUT 2020 Hourly'!$B$1)</f>
        <v>3083.3692335587712</v>
      </c>
      <c r="Q49" s="113">
        <f>('FREEVAL INPUT 2020 Hourly'!Q49)*(1+$B$4)^($B$1-'FREEVAL INPUT 2020 Hourly'!$B$1)</f>
        <v>125.79475567556185</v>
      </c>
      <c r="R49" s="21">
        <f>('FREEVAL INPUT 2020 Hourly'!R49)*(1+$B$4)^($B$1-'FREEVAL INPUT 2020 Hourly'!$B$1)</f>
        <v>2957.5744778832095</v>
      </c>
    </row>
    <row r="50" spans="1:18" x14ac:dyDescent="0.25">
      <c r="B50" s="38">
        <f t="shared" si="1"/>
        <v>16737.691102387256</v>
      </c>
      <c r="C50" s="20">
        <v>0.45833333333333298</v>
      </c>
      <c r="D50" s="21">
        <f>('FREEVAL INPUT 2020 Hourly'!D50)*(1+$B$4)^($B$1-'FREEVAL INPUT 2020 Hourly'!$B$1)</f>
        <v>1716.3995552176659</v>
      </c>
      <c r="E50" s="21">
        <f>('FREEVAL INPUT 2020 Hourly'!E50)*(1+$B$4)^($B$1-'FREEVAL INPUT 2020 Hourly'!$B$1)</f>
        <v>141.16967025813051</v>
      </c>
      <c r="F50" s="21">
        <f>('FREEVAL INPUT 2020 Hourly'!F50)*(1+$B$4)^($B$1-'FREEVAL INPUT 2020 Hourly'!$B$1)</f>
        <v>1575.2298849595356</v>
      </c>
      <c r="G50" s="21">
        <f>('FREEVAL INPUT 2020 Hourly'!G50)*(1+$B$4)^($B$1-'FREEVAL INPUT 2020 Hourly'!$B$1)</f>
        <v>96.442646017930741</v>
      </c>
      <c r="H50" s="21">
        <f>('FREEVAL INPUT 2020 Hourly'!H50)*(1+$B$4)^($B$1-'FREEVAL INPUT 2020 Hourly'!$B$1)</f>
        <v>1671.6725309774663</v>
      </c>
      <c r="I50" s="21">
        <f>('FREEVAL INPUT 2020 Hourly'!I50)*(1+$B$4)^($B$1-'FREEVAL INPUT 2020 Hourly'!$B$1)</f>
        <v>329.86180377147332</v>
      </c>
      <c r="J50" s="21">
        <f>('FREEVAL INPUT 2020 Hourly'!J50)*(1+$B$4)^($B$1-'FREEVAL INPUT 2020 Hourly'!$B$1)</f>
        <v>1341.8107272059931</v>
      </c>
      <c r="K50" s="21">
        <f>('FREEVAL INPUT 2020 Hourly'!K50)*(1+$B$4)^($B$1-'FREEVAL INPUT 2020 Hourly'!$B$1)</f>
        <v>1073.4485817647944</v>
      </c>
      <c r="L50" s="21">
        <f>('FREEVAL INPUT 2020 Hourly'!L50)*(1+$B$4)^($B$1-'FREEVAL INPUT 2020 Hourly'!$B$1)</f>
        <v>2415.2593089707875</v>
      </c>
      <c r="M50" s="21">
        <f>('FREEVAL INPUT 2020 Hourly'!M50)*(1+$B$4)^($B$1-'FREEVAL INPUT 2020 Hourly'!$B$1)</f>
        <v>153.7491458256867</v>
      </c>
      <c r="N50" s="21">
        <f>('FREEVAL INPUT 2020 Hourly'!N50)*(1+$B$4)^($B$1-'FREEVAL INPUT 2020 Hourly'!$B$1)</f>
        <v>2261.5101631451007</v>
      </c>
      <c r="O50" s="21">
        <f>('FREEVAL INPUT 2020 Hourly'!O50)*(1+$B$4)^($B$1-'FREEVAL INPUT 2020 Hourly'!$B$1)</f>
        <v>849.81346056379562</v>
      </c>
      <c r="P50" s="21">
        <f>('FREEVAL INPUT 2020 Hourly'!P50)*(1+$B$4)^($B$1-'FREEVAL INPUT 2020 Hourly'!$B$1)</f>
        <v>3111.3236237088963</v>
      </c>
      <c r="Q50" s="113">
        <f>('FREEVAL INPUT 2020 Hourly'!Q50)*(1+$B$4)^($B$1-'FREEVAL INPUT 2020 Hourly'!$B$1)</f>
        <v>131.3856337055868</v>
      </c>
      <c r="R50" s="21">
        <f>('FREEVAL INPUT 2020 Hourly'!R50)*(1+$B$4)^($B$1-'FREEVAL INPUT 2020 Hourly'!$B$1)</f>
        <v>2979.9379900033096</v>
      </c>
    </row>
    <row r="51" spans="1:18" x14ac:dyDescent="0.25">
      <c r="B51" s="38">
        <f t="shared" si="1"/>
        <v>17130.45028399651</v>
      </c>
      <c r="C51" s="20">
        <v>0.5</v>
      </c>
      <c r="D51" s="21">
        <f>('FREEVAL INPUT 2020 Hourly'!D51)*(1+$B$4)^($B$1-'FREEVAL INPUT 2020 Hourly'!$B$1)</f>
        <v>1744.3539453677909</v>
      </c>
      <c r="E51" s="21">
        <f>('FREEVAL INPUT 2020 Hourly'!E51)*(1+$B$4)^($B$1-'FREEVAL INPUT 2020 Hourly'!$B$1)</f>
        <v>157.94230434820543</v>
      </c>
      <c r="F51" s="21">
        <f>('FREEVAL INPUT 2020 Hourly'!F51)*(1+$B$4)^($B$1-'FREEVAL INPUT 2020 Hourly'!$B$1)</f>
        <v>1586.4116410195857</v>
      </c>
      <c r="G51" s="21">
        <f>('FREEVAL INPUT 2020 Hourly'!G51)*(1+$B$4)^($B$1-'FREEVAL INPUT 2020 Hourly'!$B$1)</f>
        <v>99.238085032943218</v>
      </c>
      <c r="H51" s="21">
        <f>('FREEVAL INPUT 2020 Hourly'!H51)*(1+$B$4)^($B$1-'FREEVAL INPUT 2020 Hourly'!$B$1)</f>
        <v>1685.6497260525286</v>
      </c>
      <c r="I51" s="21">
        <f>('FREEVAL INPUT 2020 Hourly'!I51)*(1+$B$4)^($B$1-'FREEVAL INPUT 2020 Hourly'!$B$1)</f>
        <v>367.60023047414182</v>
      </c>
      <c r="J51" s="21">
        <f>('FREEVAL INPUT 2020 Hourly'!J51)*(1+$B$4)^($B$1-'FREEVAL INPUT 2020 Hourly'!$B$1)</f>
        <v>1318.049495578387</v>
      </c>
      <c r="K51" s="21">
        <f>('FREEVAL INPUT 2020 Hourly'!K51)*(1+$B$4)^($B$1-'FREEVAL INPUT 2020 Hourly'!$B$1)</f>
        <v>1130.7550815725504</v>
      </c>
      <c r="L51" s="21">
        <f>('FREEVAL INPUT 2020 Hourly'!L51)*(1+$B$4)^($B$1-'FREEVAL INPUT 2020 Hourly'!$B$1)</f>
        <v>2448.8045771509373</v>
      </c>
      <c r="M51" s="21">
        <f>('FREEVAL INPUT 2020 Hourly'!M51)*(1+$B$4)^($B$1-'FREEVAL INPUT 2020 Hourly'!$B$1)</f>
        <v>190.08985302084903</v>
      </c>
      <c r="N51" s="21">
        <f>('FREEVAL INPUT 2020 Hourly'!N51)*(1+$B$4)^($B$1-'FREEVAL INPUT 2020 Hourly'!$B$1)</f>
        <v>2258.7147241300881</v>
      </c>
      <c r="O51" s="21">
        <f>('FREEVAL INPUT 2020 Hourly'!O51)*(1+$B$4)^($B$1-'FREEVAL INPUT 2020 Hourly'!$B$1)</f>
        <v>942.06294805920766</v>
      </c>
      <c r="P51" s="21">
        <f>('FREEVAL INPUT 2020 Hourly'!P51)*(1+$B$4)^($B$1-'FREEVAL INPUT 2020 Hourly'!$B$1)</f>
        <v>3200.7776721892956</v>
      </c>
      <c r="Q51" s="113">
        <f>('FREEVAL INPUT 2020 Hourly'!Q51)*(1+$B$4)^($B$1-'FREEVAL INPUT 2020 Hourly'!$B$1)</f>
        <v>134.1810727205993</v>
      </c>
      <c r="R51" s="21">
        <f>('FREEVAL INPUT 2020 Hourly'!R51)*(1+$B$4)^($B$1-'FREEVAL INPUT 2020 Hourly'!$B$1)</f>
        <v>3066.5965994686962</v>
      </c>
    </row>
    <row r="52" spans="1:18" x14ac:dyDescent="0.25">
      <c r="B52" s="38">
        <f t="shared" si="1"/>
        <v>16831.338309390176</v>
      </c>
      <c r="C52" s="20">
        <v>0.54166666666666696</v>
      </c>
      <c r="D52" s="21">
        <f>('FREEVAL INPUT 2020 Hourly'!D52)*(1+$B$4)^($B$1-'FREEVAL INPUT 2020 Hourly'!$B$1)</f>
        <v>1657.6953359024037</v>
      </c>
      <c r="E52" s="21">
        <f>('FREEVAL INPUT 2020 Hourly'!E52)*(1+$B$4)^($B$1-'FREEVAL INPUT 2020 Hourly'!$B$1)</f>
        <v>128.59019469057432</v>
      </c>
      <c r="F52" s="21">
        <f>('FREEVAL INPUT 2020 Hourly'!F52)*(1+$B$4)^($B$1-'FREEVAL INPUT 2020 Hourly'!$B$1)</f>
        <v>1529.1051412118295</v>
      </c>
      <c r="G52" s="21">
        <f>('FREEVAL INPUT 2020 Hourly'!G52)*(1+$B$4)^($B$1-'FREEVAL INPUT 2020 Hourly'!$B$1)</f>
        <v>102.03352404795572</v>
      </c>
      <c r="H52" s="21">
        <f>('FREEVAL INPUT 2020 Hourly'!H52)*(1+$B$4)^($B$1-'FREEVAL INPUT 2020 Hourly'!$B$1)</f>
        <v>1631.1386652597853</v>
      </c>
      <c r="I52" s="21">
        <f>('FREEVAL INPUT 2020 Hourly'!I52)*(1+$B$4)^($B$1-'FREEVAL INPUT 2020 Hourly'!$B$1)</f>
        <v>296.31653559132349</v>
      </c>
      <c r="J52" s="21">
        <f>('FREEVAL INPUT 2020 Hourly'!J52)*(1+$B$4)^($B$1-'FREEVAL INPUT 2020 Hourly'!$B$1)</f>
        <v>1334.8221296684617</v>
      </c>
      <c r="K52" s="21">
        <f>('FREEVAL INPUT 2020 Hourly'!K52)*(1+$B$4)^($B$1-'FREEVAL INPUT 2020 Hourly'!$B$1)</f>
        <v>1098.6075328999068</v>
      </c>
      <c r="L52" s="21">
        <f>('FREEVAL INPUT 2020 Hourly'!L52)*(1+$B$4)^($B$1-'FREEVAL INPUT 2020 Hourly'!$B$1)</f>
        <v>2433.4296625683687</v>
      </c>
      <c r="M52" s="21">
        <f>('FREEVAL INPUT 2020 Hourly'!M52)*(1+$B$4)^($B$1-'FREEVAL INPUT 2020 Hourly'!$B$1)</f>
        <v>187.29441400583653</v>
      </c>
      <c r="N52" s="21">
        <f>('FREEVAL INPUT 2020 Hourly'!N52)*(1+$B$4)^($B$1-'FREEVAL INPUT 2020 Hourly'!$B$1)</f>
        <v>2246.1352485625321</v>
      </c>
      <c r="O52" s="21">
        <f>('FREEVAL INPUT 2020 Hourly'!O52)*(1+$B$4)^($B$1-'FREEVAL INPUT 2020 Hourly'!$B$1)</f>
        <v>970.01733820933248</v>
      </c>
      <c r="P52" s="21">
        <f>('FREEVAL INPUT 2020 Hourly'!P52)*(1+$B$4)^($B$1-'FREEVAL INPUT 2020 Hourly'!$B$1)</f>
        <v>3216.1525867718647</v>
      </c>
      <c r="Q52" s="113">
        <f>('FREEVAL INPUT 2020 Hourly'!Q52)*(1+$B$4)^($B$1-'FREEVAL INPUT 2020 Hourly'!$B$1)</f>
        <v>136.97651173561178</v>
      </c>
      <c r="R52" s="21">
        <f>('FREEVAL INPUT 2020 Hourly'!R52)*(1+$B$4)^($B$1-'FREEVAL INPUT 2020 Hourly'!$B$1)</f>
        <v>3079.1760750362528</v>
      </c>
    </row>
    <row r="53" spans="1:18" x14ac:dyDescent="0.25">
      <c r="B53" s="38">
        <f t="shared" si="1"/>
        <v>18062.729195503176</v>
      </c>
      <c r="C53" s="20">
        <v>0.58333333333333304</v>
      </c>
      <c r="D53" s="21">
        <f>('FREEVAL INPUT 2020 Hourly'!D53)*(1+$B$4)^($B$1-'FREEVAL INPUT 2020 Hourly'!$B$1)</f>
        <v>1898.1030911934774</v>
      </c>
      <c r="E53" s="21">
        <f>('FREEVAL INPUT 2020 Hourly'!E53)*(1+$B$4)^($B$1-'FREEVAL INPUT 2020 Hourly'!$B$1)</f>
        <v>197.07845055838024</v>
      </c>
      <c r="F53" s="21">
        <f>('FREEVAL INPUT 2020 Hourly'!F53)*(1+$B$4)^($B$1-'FREEVAL INPUT 2020 Hourly'!$B$1)</f>
        <v>1701.0246406350975</v>
      </c>
      <c r="G53" s="21">
        <f>('FREEVAL INPUT 2020 Hourly'!G53)*(1+$B$4)^($B$1-'FREEVAL INPUT 2020 Hourly'!$B$1)</f>
        <v>93.647207002918265</v>
      </c>
      <c r="H53" s="21">
        <f>('FREEVAL INPUT 2020 Hourly'!H53)*(1+$B$4)^($B$1-'FREEVAL INPUT 2020 Hourly'!$B$1)</f>
        <v>1794.6718476380156</v>
      </c>
      <c r="I53" s="21">
        <f>('FREEVAL INPUT 2020 Hourly'!I53)*(1+$B$4)^($B$1-'FREEVAL INPUT 2020 Hourly'!$B$1)</f>
        <v>303.30513312885466</v>
      </c>
      <c r="J53" s="21">
        <f>('FREEVAL INPUT 2020 Hourly'!J53)*(1+$B$4)^($B$1-'FREEVAL INPUT 2020 Hourly'!$B$1)</f>
        <v>1491.3667145091611</v>
      </c>
      <c r="K53" s="21">
        <f>('FREEVAL INPUT 2020 Hourly'!K53)*(1+$B$4)^($B$1-'FREEVAL INPUT 2020 Hourly'!$B$1)</f>
        <v>1113.9824474824754</v>
      </c>
      <c r="L53" s="21">
        <f>('FREEVAL INPUT 2020 Hourly'!L53)*(1+$B$4)^($B$1-'FREEVAL INPUT 2020 Hourly'!$B$1)</f>
        <v>2605.3491619916363</v>
      </c>
      <c r="M53" s="21">
        <f>('FREEVAL INPUT 2020 Hourly'!M53)*(1+$B$4)^($B$1-'FREEVAL INPUT 2020 Hourly'!$B$1)</f>
        <v>157.94230434820543</v>
      </c>
      <c r="N53" s="21">
        <f>('FREEVAL INPUT 2020 Hourly'!N53)*(1+$B$4)^($B$1-'FREEVAL INPUT 2020 Hourly'!$B$1)</f>
        <v>2447.4068576434311</v>
      </c>
      <c r="O53" s="21">
        <f>('FREEVAL INPUT 2020 Hourly'!O53)*(1+$B$4)^($B$1-'FREEVAL INPUT 2020 Hourly'!$B$1)</f>
        <v>905.72224086404526</v>
      </c>
      <c r="P53" s="21">
        <f>('FREEVAL INPUT 2020 Hourly'!P53)*(1+$B$4)^($B$1-'FREEVAL INPUT 2020 Hourly'!$B$1)</f>
        <v>3353.1290985074766</v>
      </c>
      <c r="Q53" s="113">
        <f>('FREEVAL INPUT 2020 Hourly'!Q53)*(1+$B$4)^($B$1-'FREEVAL INPUT 2020 Hourly'!$B$1)</f>
        <v>141.16967025813051</v>
      </c>
      <c r="R53" s="21">
        <f>('FREEVAL INPUT 2020 Hourly'!R53)*(1+$B$4)^($B$1-'FREEVAL INPUT 2020 Hourly'!$B$1)</f>
        <v>3211.9594282493458</v>
      </c>
    </row>
    <row r="54" spans="1:18" x14ac:dyDescent="0.25">
      <c r="B54" s="38">
        <f t="shared" si="1"/>
        <v>18746.214034673729</v>
      </c>
      <c r="C54" s="20">
        <v>0.625</v>
      </c>
      <c r="D54" s="21">
        <f>('FREEVAL INPUT 2020 Hourly'!D54)*(1+$B$4)^($B$1-'FREEVAL INPUT 2020 Hourly'!$B$1)</f>
        <v>1976.3753836138271</v>
      </c>
      <c r="E54" s="21">
        <f>('FREEVAL INPUT 2020 Hourly'!E54)*(1+$B$4)^($B$1-'FREEVAL INPUT 2020 Hourly'!$B$1)</f>
        <v>223.63512120099884</v>
      </c>
      <c r="F54" s="21">
        <f>('FREEVAL INPUT 2020 Hourly'!F54)*(1+$B$4)^($B$1-'FREEVAL INPUT 2020 Hourly'!$B$1)</f>
        <v>1752.7402624128283</v>
      </c>
      <c r="G54" s="21">
        <f>('FREEVAL INPUT 2020 Hourly'!G54)*(1+$B$4)^($B$1-'FREEVAL INPUT 2020 Hourly'!$B$1)</f>
        <v>110.41984109299318</v>
      </c>
      <c r="H54" s="21">
        <f>('FREEVAL INPUT 2020 Hourly'!H54)*(1+$B$4)^($B$1-'FREEVAL INPUT 2020 Hourly'!$B$1)</f>
        <v>1863.1601035058216</v>
      </c>
      <c r="I54" s="21">
        <f>('FREEVAL INPUT 2020 Hourly'!I54)*(1+$B$4)^($B$1-'FREEVAL INPUT 2020 Hourly'!$B$1)</f>
        <v>332.65724278648577</v>
      </c>
      <c r="J54" s="21">
        <f>('FREEVAL INPUT 2020 Hourly'!J54)*(1+$B$4)^($B$1-'FREEVAL INPUT 2020 Hourly'!$B$1)</f>
        <v>1530.5028607193356</v>
      </c>
      <c r="K54" s="21">
        <f>('FREEVAL INPUT 2020 Hourly'!K54)*(1+$B$4)^($B$1-'FREEVAL INPUT 2020 Hourly'!$B$1)</f>
        <v>1087.4257768398568</v>
      </c>
      <c r="L54" s="21">
        <f>('FREEVAL INPUT 2020 Hourly'!L54)*(1+$B$4)^($B$1-'FREEVAL INPUT 2020 Hourly'!$B$1)</f>
        <v>2617.9286375591928</v>
      </c>
      <c r="M54" s="21">
        <f>('FREEVAL INPUT 2020 Hourly'!M54)*(1+$B$4)^($B$1-'FREEVAL INPUT 2020 Hourly'!$B$1)</f>
        <v>206.86248711092392</v>
      </c>
      <c r="N54" s="21">
        <f>('FREEVAL INPUT 2020 Hourly'!N54)*(1+$B$4)^($B$1-'FREEVAL INPUT 2020 Hourly'!$B$1)</f>
        <v>2411.0661504482687</v>
      </c>
      <c r="O54" s="21">
        <f>('FREEVAL INPUT 2020 Hourly'!O54)*(1+$B$4)^($B$1-'FREEVAL INPUT 2020 Hourly'!$B$1)</f>
        <v>1111.1870084674629</v>
      </c>
      <c r="P54" s="21">
        <f>('FREEVAL INPUT 2020 Hourly'!P54)*(1+$B$4)^($B$1-'FREEVAL INPUT 2020 Hourly'!$B$1)</f>
        <v>3522.253158915732</v>
      </c>
      <c r="Q54" s="113">
        <f>('FREEVAL INPUT 2020 Hourly'!Q54)*(1+$B$4)^($B$1-'FREEVAL INPUT 2020 Hourly'!$B$1)</f>
        <v>145.36282878064924</v>
      </c>
      <c r="R54" s="21">
        <f>('FREEVAL INPUT 2020 Hourly'!R54)*(1+$B$4)^($B$1-'FREEVAL INPUT 2020 Hourly'!$B$1)</f>
        <v>3376.8903301350824</v>
      </c>
    </row>
    <row r="55" spans="1:18" s="51" customFormat="1" x14ac:dyDescent="0.25">
      <c r="A55" s="102" t="s">
        <v>242</v>
      </c>
      <c r="B55" s="39">
        <f t="shared" si="1"/>
        <v>19114</v>
      </c>
      <c r="C55" s="40">
        <v>0.66666666666666696</v>
      </c>
      <c r="D55" s="44">
        <v>1824</v>
      </c>
      <c r="E55" s="44">
        <v>373</v>
      </c>
      <c r="F55" s="44">
        <v>1451</v>
      </c>
      <c r="G55" s="44">
        <v>593</v>
      </c>
      <c r="H55" s="44">
        <v>2044</v>
      </c>
      <c r="I55" s="44">
        <v>323</v>
      </c>
      <c r="J55" s="44">
        <v>1722</v>
      </c>
      <c r="K55" s="44">
        <v>1005</v>
      </c>
      <c r="L55" s="44">
        <v>2727</v>
      </c>
      <c r="M55" s="44">
        <v>280</v>
      </c>
      <c r="N55" s="44">
        <v>2447</v>
      </c>
      <c r="O55" s="44">
        <v>939</v>
      </c>
      <c r="P55" s="44">
        <v>3386</v>
      </c>
      <c r="Q55" s="44">
        <v>122</v>
      </c>
      <c r="R55" s="44">
        <v>3264</v>
      </c>
    </row>
    <row r="56" spans="1:18" x14ac:dyDescent="0.25">
      <c r="B56" s="38">
        <f t="shared" si="1"/>
        <v>18809.111412511505</v>
      </c>
      <c r="C56" s="20">
        <v>0.70833333333333304</v>
      </c>
      <c r="D56" s="21">
        <f>('FREEVAL INPUT 2020 Hourly'!D56)*(1+$B$4)^($B$1-'FREEVAL INPUT 2020 Hourly'!$B$1)</f>
        <v>2000.1366152414334</v>
      </c>
      <c r="E56" s="21">
        <f>('FREEVAL INPUT 2020 Hourly'!E56)*(1+$B$4)^($B$1-'FREEVAL INPUT 2020 Hourly'!$B$1)</f>
        <v>280.94162100875479</v>
      </c>
      <c r="F56" s="21">
        <f>('FREEVAL INPUT 2020 Hourly'!F56)*(1+$B$4)^($B$1-'FREEVAL INPUT 2020 Hourly'!$B$1)</f>
        <v>1719.1949942326785</v>
      </c>
      <c r="G56" s="21">
        <f>('FREEVAL INPUT 2020 Hourly'!G56)*(1+$B$4)^($B$1-'FREEVAL INPUT 2020 Hourly'!$B$1)</f>
        <v>146.76054828815549</v>
      </c>
      <c r="H56" s="21">
        <f>('FREEVAL INPUT 2020 Hourly'!H56)*(1+$B$4)^($B$1-'FREEVAL INPUT 2020 Hourly'!$B$1)</f>
        <v>1865.9555425208341</v>
      </c>
      <c r="I56" s="21">
        <f>('FREEVAL INPUT 2020 Hourly'!I56)*(1+$B$4)^($B$1-'FREEVAL INPUT 2020 Hourly'!$B$1)</f>
        <v>367.60023047414182</v>
      </c>
      <c r="J56" s="21">
        <f>('FREEVAL INPUT 2020 Hourly'!J56)*(1+$B$4)^($B$1-'FREEVAL INPUT 2020 Hourly'!$B$1)</f>
        <v>1498.3553120466922</v>
      </c>
      <c r="K56" s="21">
        <f>('FREEVAL INPUT 2020 Hourly'!K56)*(1+$B$4)^($B$1-'FREEVAL INPUT 2020 Hourly'!$B$1)</f>
        <v>1176.8798253202563</v>
      </c>
      <c r="L56" s="21">
        <f>('FREEVAL INPUT 2020 Hourly'!L56)*(1+$B$4)^($B$1-'FREEVAL INPUT 2020 Hourly'!$B$1)</f>
        <v>2675.2351373669485</v>
      </c>
      <c r="M56" s="21">
        <f>('FREEVAL INPUT 2020 Hourly'!M56)*(1+$B$4)^($B$1-'FREEVAL INPUT 2020 Hourly'!$B$1)</f>
        <v>315.88460869641085</v>
      </c>
      <c r="N56" s="21">
        <f>('FREEVAL INPUT 2020 Hourly'!N56)*(1+$B$4)^($B$1-'FREEVAL INPUT 2020 Hourly'!$B$1)</f>
        <v>2359.3505286705376</v>
      </c>
      <c r="O56" s="21">
        <f>('FREEVAL INPUT 2020 Hourly'!O56)*(1+$B$4)^($B$1-'FREEVAL INPUT 2020 Hourly'!$B$1)</f>
        <v>1021.7329599870634</v>
      </c>
      <c r="P56" s="21">
        <f>('FREEVAL INPUT 2020 Hourly'!P56)*(1+$B$4)^($B$1-'FREEVAL INPUT 2020 Hourly'!$B$1)</f>
        <v>3381.0834886576008</v>
      </c>
      <c r="Q56" s="113">
        <f>('FREEVAL INPUT 2020 Hourly'!Q56)*(1+$B$4)^($B$1-'FREEVAL INPUT 2020 Hourly'!$B$1)</f>
        <v>132.78335321309305</v>
      </c>
      <c r="R56" s="21">
        <f>('FREEVAL INPUT 2020 Hourly'!R56)*(1+$B$4)^($B$1-'FREEVAL INPUT 2020 Hourly'!$B$1)</f>
        <v>3248.3001354445082</v>
      </c>
    </row>
    <row r="57" spans="1:18" x14ac:dyDescent="0.25">
      <c r="B57" s="38">
        <f t="shared" si="1"/>
        <v>14371.351976179189</v>
      </c>
      <c r="C57" s="20">
        <v>0.749999999999999</v>
      </c>
      <c r="D57" s="21">
        <f>('FREEVAL INPUT 2020 Hourly'!D57)*(1+$B$4)^($B$1-'FREEVAL INPUT 2020 Hourly'!$B$1)</f>
        <v>1439.65109273143</v>
      </c>
      <c r="E57" s="21">
        <f>('FREEVAL INPUT 2020 Hourly'!E57)*(1+$B$4)^($B$1-'FREEVAL INPUT 2020 Hourly'!$B$1)</f>
        <v>167.72634090074914</v>
      </c>
      <c r="F57" s="21">
        <f>('FREEVAL INPUT 2020 Hourly'!F57)*(1+$B$4)^($B$1-'FREEVAL INPUT 2020 Hourly'!$B$1)</f>
        <v>1271.9247518306809</v>
      </c>
      <c r="G57" s="21">
        <f>('FREEVAL INPUT 2020 Hourly'!G57)*(1+$B$4)^($B$1-'FREEVAL INPUT 2020 Hourly'!$B$1)</f>
        <v>104.8289630629682</v>
      </c>
      <c r="H57" s="21">
        <f>('FREEVAL INPUT 2020 Hourly'!H57)*(1+$B$4)^($B$1-'FREEVAL INPUT 2020 Hourly'!$B$1)</f>
        <v>1376.7537148936492</v>
      </c>
      <c r="I57" s="21">
        <f>('FREEVAL INPUT 2020 Hourly'!I57)*(1+$B$4)^($B$1-'FREEVAL INPUT 2020 Hourly'!$B$1)</f>
        <v>322.87320623394203</v>
      </c>
      <c r="J57" s="21">
        <f>('FREEVAL INPUT 2020 Hourly'!J57)*(1+$B$4)^($B$1-'FREEVAL INPUT 2020 Hourly'!$B$1)</f>
        <v>1053.8805086597069</v>
      </c>
      <c r="K57" s="21">
        <f>('FREEVAL INPUT 2020 Hourly'!K57)*(1+$B$4)^($B$1-'FREEVAL INPUT 2020 Hourly'!$B$1)</f>
        <v>974.21049673185121</v>
      </c>
      <c r="L57" s="21">
        <f>('FREEVAL INPUT 2020 Hourly'!L57)*(1+$B$4)^($B$1-'FREEVAL INPUT 2020 Hourly'!$B$1)</f>
        <v>2028.0910053915582</v>
      </c>
      <c r="M57" s="21">
        <f>('FREEVAL INPUT 2020 Hourly'!M57)*(1+$B$4)^($B$1-'FREEVAL INPUT 2020 Hourly'!$B$1)</f>
        <v>199.87388957339269</v>
      </c>
      <c r="N57" s="21">
        <f>('FREEVAL INPUT 2020 Hourly'!N57)*(1+$B$4)^($B$1-'FREEVAL INPUT 2020 Hourly'!$B$1)</f>
        <v>1828.2171158181657</v>
      </c>
      <c r="O57" s="21">
        <f>('FREEVAL INPUT 2020 Hourly'!O57)*(1+$B$4)^($B$1-'FREEVAL INPUT 2020 Hourly'!$B$1)</f>
        <v>887.55188726646406</v>
      </c>
      <c r="P57" s="21">
        <f>('FREEVAL INPUT 2020 Hourly'!P57)*(1+$B$4)^($B$1-'FREEVAL INPUT 2020 Hourly'!$B$1)</f>
        <v>2715.7690030846297</v>
      </c>
      <c r="Q57" s="113">
        <f>('FREEVAL INPUT 2020 Hourly'!Q57)*(1+$B$4)^($B$1-'FREEVAL INPUT 2020 Hourly'!$B$1)</f>
        <v>106.22668257047445</v>
      </c>
      <c r="R57" s="21">
        <f>('FREEVAL INPUT 2020 Hourly'!R57)*(1+$B$4)^($B$1-'FREEVAL INPUT 2020 Hourly'!$B$1)</f>
        <v>2609.5423205141551</v>
      </c>
    </row>
    <row r="58" spans="1:18" x14ac:dyDescent="0.25">
      <c r="B58" s="38">
        <f t="shared" si="1"/>
        <v>11260.02835247029</v>
      </c>
      <c r="C58" s="20">
        <v>0.79166666666666496</v>
      </c>
      <c r="D58" s="21">
        <f>('FREEVAL INPUT 2020 Hourly'!D58)*(1+$B$4)^($B$1-'FREEVAL INPUT 2020 Hourly'!$B$1)</f>
        <v>1067.8577037347695</v>
      </c>
      <c r="E58" s="21">
        <f>('FREEVAL INPUT 2020 Hourly'!E58)*(1+$B$4)^($B$1-'FREEVAL INPUT 2020 Hourly'!$B$1)</f>
        <v>97.840365525436994</v>
      </c>
      <c r="F58" s="21">
        <f>('FREEVAL INPUT 2020 Hourly'!F58)*(1+$B$4)^($B$1-'FREEVAL INPUT 2020 Hourly'!$B$1)</f>
        <v>970.01733820933248</v>
      </c>
      <c r="G58" s="21">
        <f>('FREEVAL INPUT 2020 Hourly'!G58)*(1+$B$4)^($B$1-'FREEVAL INPUT 2020 Hourly'!$B$1)</f>
        <v>71.283694882818381</v>
      </c>
      <c r="H58" s="21">
        <f>('FREEVAL INPUT 2020 Hourly'!H58)*(1+$B$4)^($B$1-'FREEVAL INPUT 2020 Hourly'!$B$1)</f>
        <v>1041.3010330921509</v>
      </c>
      <c r="I58" s="21">
        <f>('FREEVAL INPUT 2020 Hourly'!I58)*(1+$B$4)^($B$1-'FREEVAL INPUT 2020 Hourly'!$B$1)</f>
        <v>199.87388957339269</v>
      </c>
      <c r="J58" s="21">
        <f>('FREEVAL INPUT 2020 Hourly'!J58)*(1+$B$4)^($B$1-'FREEVAL INPUT 2020 Hourly'!$B$1)</f>
        <v>841.42714351875816</v>
      </c>
      <c r="K58" s="21">
        <f>('FREEVAL INPUT 2020 Hourly'!K58)*(1+$B$4)^($B$1-'FREEVAL INPUT 2020 Hourly'!$B$1)</f>
        <v>795.30239977105202</v>
      </c>
      <c r="L58" s="21">
        <f>('FREEVAL INPUT 2020 Hourly'!L58)*(1+$B$4)^($B$1-'FREEVAL INPUT 2020 Hourly'!$B$1)</f>
        <v>1636.7295432898104</v>
      </c>
      <c r="M58" s="21">
        <f>('FREEVAL INPUT 2020 Hourly'!M58)*(1+$B$4)^($B$1-'FREEVAL INPUT 2020 Hourly'!$B$1)</f>
        <v>163.53318237823041</v>
      </c>
      <c r="N58" s="21">
        <f>('FREEVAL INPUT 2020 Hourly'!N58)*(1+$B$4)^($B$1-'FREEVAL INPUT 2020 Hourly'!$B$1)</f>
        <v>1473.1963609115796</v>
      </c>
      <c r="O58" s="21">
        <f>('FREEVAL INPUT 2020 Hourly'!O58)*(1+$B$4)^($B$1-'FREEVAL INPUT 2020 Hourly'!$B$1)</f>
        <v>714.23466833569</v>
      </c>
      <c r="P58" s="21">
        <f>('FREEVAL INPUT 2020 Hourly'!P58)*(1+$B$4)^($B$1-'FREEVAL INPUT 2020 Hourly'!$B$1)</f>
        <v>2187.4310292472701</v>
      </c>
      <c r="Q58" s="113">
        <f>('FREEVAL INPUT 2020 Hourly'!Q58)*(1+$B$4)^($B$1-'FREEVAL INPUT 2020 Hourly'!$B$1)</f>
        <v>83.863170450374568</v>
      </c>
      <c r="R58" s="21">
        <f>('FREEVAL INPUT 2020 Hourly'!R58)*(1+$B$4)^($B$1-'FREEVAL INPUT 2020 Hourly'!$B$1)</f>
        <v>2103.5678587968951</v>
      </c>
    </row>
    <row r="59" spans="1:18" x14ac:dyDescent="0.25">
      <c r="B59" s="38">
        <f t="shared" si="1"/>
        <v>9934.9902593543738</v>
      </c>
      <c r="C59" s="20">
        <v>0.83333333333333104</v>
      </c>
      <c r="D59" s="21">
        <f>('FREEVAL INPUT 2020 Hourly'!D59)*(1+$B$4)^($B$1-'FREEVAL INPUT 2020 Hourly'!$B$1)</f>
        <v>946.25610658172639</v>
      </c>
      <c r="E59" s="21">
        <f>('FREEVAL INPUT 2020 Hourly'!E59)*(1+$B$4)^($B$1-'FREEVAL INPUT 2020 Hourly'!$B$1)</f>
        <v>88.056328972893283</v>
      </c>
      <c r="F59" s="21">
        <f>('FREEVAL INPUT 2020 Hourly'!F59)*(1+$B$4)^($B$1-'FREEVAL INPUT 2020 Hourly'!$B$1)</f>
        <v>858.19977760883296</v>
      </c>
      <c r="G59" s="21">
        <f>('FREEVAL INPUT 2020 Hourly'!G59)*(1+$B$4)^($B$1-'FREEVAL INPUT 2020 Hourly'!$B$1)</f>
        <v>65.692816852793399</v>
      </c>
      <c r="H59" s="21">
        <f>('FREEVAL INPUT 2020 Hourly'!H59)*(1+$B$4)^($B$1-'FREEVAL INPUT 2020 Hourly'!$B$1)</f>
        <v>923.89259446162635</v>
      </c>
      <c r="I59" s="21">
        <f>('FREEVAL INPUT 2020 Hourly'!I59)*(1+$B$4)^($B$1-'FREEVAL INPUT 2020 Hourly'!$B$1)</f>
        <v>155.14686533319295</v>
      </c>
      <c r="J59" s="21">
        <f>('FREEVAL INPUT 2020 Hourly'!J59)*(1+$B$4)^($B$1-'FREEVAL INPUT 2020 Hourly'!$B$1)</f>
        <v>768.74572912843348</v>
      </c>
      <c r="K59" s="21">
        <f>('FREEVAL INPUT 2020 Hourly'!K59)*(1+$B$4)^($B$1-'FREEVAL INPUT 2020 Hourly'!$B$1)</f>
        <v>694.66659523060264</v>
      </c>
      <c r="L59" s="21">
        <f>('FREEVAL INPUT 2020 Hourly'!L59)*(1+$B$4)^($B$1-'FREEVAL INPUT 2020 Hourly'!$B$1)</f>
        <v>1463.4123243590359</v>
      </c>
      <c r="M59" s="21">
        <f>('FREEVAL INPUT 2020 Hourly'!M59)*(1+$B$4)^($B$1-'FREEVAL INPUT 2020 Hourly'!$B$1)</f>
        <v>127.19247518306808</v>
      </c>
      <c r="N59" s="21">
        <f>('FREEVAL INPUT 2020 Hourly'!N59)*(1+$B$4)^($B$1-'FREEVAL INPUT 2020 Hourly'!$B$1)</f>
        <v>1336.219849175968</v>
      </c>
      <c r="O59" s="21">
        <f>('FREEVAL INPUT 2020 Hourly'!O59)*(1+$B$4)^($B$1-'FREEVAL INPUT 2020 Hourly'!$B$1)</f>
        <v>585.64447364511568</v>
      </c>
      <c r="P59" s="21">
        <f>('FREEVAL INPUT 2020 Hourly'!P59)*(1+$B$4)^($B$1-'FREEVAL INPUT 2020 Hourly'!$B$1)</f>
        <v>1921.8643228210838</v>
      </c>
      <c r="Q59" s="113">
        <f>('FREEVAL INPUT 2020 Hourly'!Q59)*(1+$B$4)^($B$1-'FREEVAL INPUT 2020 Hourly'!$B$1)</f>
        <v>67.090536360299652</v>
      </c>
      <c r="R59" s="21">
        <f>('FREEVAL INPUT 2020 Hourly'!R59)*(1+$B$4)^($B$1-'FREEVAL INPUT 2020 Hourly'!$B$1)</f>
        <v>1854.7737864607841</v>
      </c>
    </row>
    <row r="60" spans="1:18" x14ac:dyDescent="0.25">
      <c r="B60" s="38">
        <f t="shared" si="1"/>
        <v>7277.9254755850061</v>
      </c>
      <c r="C60" s="20">
        <v>0.874999999999997</v>
      </c>
      <c r="D60" s="21">
        <f>('FREEVAL INPUT 2020 Hourly'!D60)*(1+$B$4)^($B$1-'FREEVAL INPUT 2020 Hourly'!$B$1)</f>
        <v>666.71220508047782</v>
      </c>
      <c r="E60" s="21">
        <f>('FREEVAL INPUT 2020 Hourly'!E60)*(1+$B$4)^($B$1-'FREEVAL INPUT 2020 Hourly'!$B$1)</f>
        <v>47.522463255212259</v>
      </c>
      <c r="F60" s="21">
        <f>('FREEVAL INPUT 2020 Hourly'!F60)*(1+$B$4)^($B$1-'FREEVAL INPUT 2020 Hourly'!$B$1)</f>
        <v>619.18974182526551</v>
      </c>
      <c r="G60" s="21">
        <f>('FREEVAL INPUT 2020 Hourly'!G60)*(1+$B$4)^($B$1-'FREEVAL INPUT 2020 Hourly'!$B$1)</f>
        <v>32.14754867264358</v>
      </c>
      <c r="H60" s="21">
        <f>('FREEVAL INPUT 2020 Hourly'!H60)*(1+$B$4)^($B$1-'FREEVAL INPUT 2020 Hourly'!$B$1)</f>
        <v>651.33729049790907</v>
      </c>
      <c r="I60" s="21">
        <f>('FREEVAL INPUT 2020 Hourly'!I60)*(1+$B$4)^($B$1-'FREEVAL INPUT 2020 Hourly'!$B$1)</f>
        <v>104.8289630629682</v>
      </c>
      <c r="J60" s="21">
        <f>('FREEVAL INPUT 2020 Hourly'!J60)*(1+$B$4)^($B$1-'FREEVAL INPUT 2020 Hourly'!$B$1)</f>
        <v>546.50832743494095</v>
      </c>
      <c r="K60" s="21">
        <f>('FREEVAL INPUT 2020 Hourly'!K60)*(1+$B$4)^($B$1-'FREEVAL INPUT 2020 Hourly'!$B$1)</f>
        <v>567.4741200475346</v>
      </c>
      <c r="L60" s="21">
        <f>('FREEVAL INPUT 2020 Hourly'!L60)*(1+$B$4)^($B$1-'FREEVAL INPUT 2020 Hourly'!$B$1)</f>
        <v>1113.9824474824754</v>
      </c>
      <c r="M60" s="21">
        <f>('FREEVAL INPUT 2020 Hourly'!M60)*(1+$B$4)^($B$1-'FREEVAL INPUT 2020 Hourly'!$B$1)</f>
        <v>76.874572912843348</v>
      </c>
      <c r="N60" s="21">
        <f>('FREEVAL INPUT 2020 Hourly'!N60)*(1+$B$4)^($B$1-'FREEVAL INPUT 2020 Hourly'!$B$1)</f>
        <v>1037.1078745696323</v>
      </c>
      <c r="O60" s="21">
        <f>('FREEVAL INPUT 2020 Hourly'!O60)*(1+$B$4)^($B$1-'FREEVAL INPUT 2020 Hourly'!$B$1)</f>
        <v>388.56602308673547</v>
      </c>
      <c r="P60" s="21">
        <f>('FREEVAL INPUT 2020 Hourly'!P60)*(1+$B$4)^($B$1-'FREEVAL INPUT 2020 Hourly'!$B$1)</f>
        <v>1425.6738976563674</v>
      </c>
      <c r="Q60" s="113">
        <f>('FREEVAL INPUT 2020 Hourly'!Q60)*(1+$B$4)^($B$1-'FREEVAL INPUT 2020 Hourly'!$B$1)</f>
        <v>54.511060792743464</v>
      </c>
      <c r="R60" s="21">
        <f>('FREEVAL INPUT 2020 Hourly'!R60)*(1+$B$4)^($B$1-'FREEVAL INPUT 2020 Hourly'!$B$1)</f>
        <v>1371.1628368636241</v>
      </c>
    </row>
    <row r="61" spans="1:18" x14ac:dyDescent="0.25">
      <c r="B61" s="38">
        <f t="shared" si="1"/>
        <v>5077.9149707701799</v>
      </c>
      <c r="C61" s="20">
        <v>0.91666666666666297</v>
      </c>
      <c r="D61" s="21">
        <f>('FREEVAL INPUT 2020 Hourly'!D61)*(1+$B$4)^($B$1-'FREEVAL INPUT 2020 Hourly'!$B$1)</f>
        <v>482.21323008965373</v>
      </c>
      <c r="E61" s="21">
        <f>('FREEVAL INPUT 2020 Hourly'!E61)*(1+$B$4)^($B$1-'FREEVAL INPUT 2020 Hourly'!$B$1)</f>
        <v>33.545268180149826</v>
      </c>
      <c r="F61" s="21">
        <f>('FREEVAL INPUT 2020 Hourly'!F61)*(1+$B$4)^($B$1-'FREEVAL INPUT 2020 Hourly'!$B$1)</f>
        <v>448.6679619095039</v>
      </c>
      <c r="G61" s="21">
        <f>('FREEVAL INPUT 2020 Hourly'!G61)*(1+$B$4)^($B$1-'FREEVAL INPUT 2020 Hourly'!$B$1)</f>
        <v>23.761231627606129</v>
      </c>
      <c r="H61" s="21">
        <f>('FREEVAL INPUT 2020 Hourly'!H61)*(1+$B$4)^($B$1-'FREEVAL INPUT 2020 Hourly'!$B$1)</f>
        <v>472.42919353711005</v>
      </c>
      <c r="I61" s="21">
        <f>('FREEVAL INPUT 2020 Hourly'!I61)*(1+$B$4)^($B$1-'FREEVAL INPUT 2020 Hourly'!$B$1)</f>
        <v>55.90878030024971</v>
      </c>
      <c r="J61" s="21">
        <f>('FREEVAL INPUT 2020 Hourly'!J61)*(1+$B$4)^($B$1-'FREEVAL INPUT 2020 Hourly'!$B$1)</f>
        <v>416.52041323686029</v>
      </c>
      <c r="K61" s="21">
        <f>('FREEVAL INPUT 2020 Hourly'!K61)*(1+$B$4)^($B$1-'FREEVAL INPUT 2020 Hourly'!$B$1)</f>
        <v>348.03215736905446</v>
      </c>
      <c r="L61" s="21">
        <f>('FREEVAL INPUT 2020 Hourly'!L61)*(1+$B$4)^($B$1-'FREEVAL INPUT 2020 Hourly'!$B$1)</f>
        <v>764.55257060591475</v>
      </c>
      <c r="M61" s="21">
        <f>('FREEVAL INPUT 2020 Hourly'!M61)*(1+$B$4)^($B$1-'FREEVAL INPUT 2020 Hourly'!$B$1)</f>
        <v>50.317902270224735</v>
      </c>
      <c r="N61" s="21">
        <f>('FREEVAL INPUT 2020 Hourly'!N61)*(1+$B$4)^($B$1-'FREEVAL INPUT 2020 Hourly'!$B$1)</f>
        <v>714.23466833569</v>
      </c>
      <c r="O61" s="21">
        <f>('FREEVAL INPUT 2020 Hourly'!O61)*(1+$B$4)^($B$1-'FREEVAL INPUT 2020 Hourly'!$B$1)</f>
        <v>276.74846248623606</v>
      </c>
      <c r="P61" s="21">
        <f>('FREEVAL INPUT 2020 Hourly'!P61)*(1+$B$4)^($B$1-'FREEVAL INPUT 2020 Hourly'!$B$1)</f>
        <v>990.98313082192612</v>
      </c>
      <c r="Q61" s="113">
        <f>('FREEVAL INPUT 2020 Hourly'!Q61)*(1+$B$4)^($B$1-'FREEVAL INPUT 2020 Hourly'!$B$1)</f>
        <v>41.931585225187284</v>
      </c>
      <c r="R61" s="21">
        <f>('FREEVAL INPUT 2020 Hourly'!R61)*(1+$B$4)^($B$1-'FREEVAL INPUT 2020 Hourly'!$B$1)</f>
        <v>949.05154559673872</v>
      </c>
    </row>
    <row r="62" spans="1:18" x14ac:dyDescent="0.25">
      <c r="B62" s="38">
        <f t="shared" si="1"/>
        <v>3430.0036714203197</v>
      </c>
      <c r="C62" s="20">
        <v>0.95833333333333004</v>
      </c>
      <c r="D62" s="21">
        <f>('FREEVAL INPUT 2020 Hourly'!D62)*(1+$B$4)^($B$1-'FREEVAL INPUT 2020 Hourly'!$B$1)</f>
        <v>375.98654751917928</v>
      </c>
      <c r="E62" s="21">
        <f>('FREEVAL INPUT 2020 Hourly'!E62)*(1+$B$4)^($B$1-'FREEVAL INPUT 2020 Hourly'!$B$1)</f>
        <v>20.965792612593642</v>
      </c>
      <c r="F62" s="21">
        <f>('FREEVAL INPUT 2020 Hourly'!F62)*(1+$B$4)^($B$1-'FREEVAL INPUT 2020 Hourly'!$B$1)</f>
        <v>355.02075490658564</v>
      </c>
      <c r="G62" s="21">
        <f>('FREEVAL INPUT 2020 Hourly'!G62)*(1+$B$4)^($B$1-'FREEVAL INPUT 2020 Hourly'!$B$1)</f>
        <v>13.977195075062427</v>
      </c>
      <c r="H62" s="21">
        <f>('FREEVAL INPUT 2020 Hourly'!H62)*(1+$B$4)^($B$1-'FREEVAL INPUT 2020 Hourly'!$B$1)</f>
        <v>368.99794998164805</v>
      </c>
      <c r="I62" s="21">
        <f>('FREEVAL INPUT 2020 Hourly'!I62)*(1+$B$4)^($B$1-'FREEVAL INPUT 2020 Hourly'!$B$1)</f>
        <v>57.306499807755955</v>
      </c>
      <c r="J62" s="21">
        <f>('FREEVAL INPUT 2020 Hourly'!J62)*(1+$B$4)^($B$1-'FREEVAL INPUT 2020 Hourly'!$B$1)</f>
        <v>311.69145017389212</v>
      </c>
      <c r="K62" s="21">
        <f>('FREEVAL INPUT 2020 Hourly'!K62)*(1+$B$4)^($B$1-'FREEVAL INPUT 2020 Hourly'!$B$1)</f>
        <v>199.87388957339269</v>
      </c>
      <c r="L62" s="21">
        <f>('FREEVAL INPUT 2020 Hourly'!L62)*(1+$B$4)^($B$1-'FREEVAL INPUT 2020 Hourly'!$B$1)</f>
        <v>511.56533974728484</v>
      </c>
      <c r="M62" s="21">
        <f>('FREEVAL INPUT 2020 Hourly'!M62)*(1+$B$4)^($B$1-'FREEVAL INPUT 2020 Hourly'!$B$1)</f>
        <v>29.352109657631097</v>
      </c>
      <c r="N62" s="21">
        <f>('FREEVAL INPUT 2020 Hourly'!N62)*(1+$B$4)^($B$1-'FREEVAL INPUT 2020 Hourly'!$B$1)</f>
        <v>482.21323008965373</v>
      </c>
      <c r="O62" s="21">
        <f>('FREEVAL INPUT 2020 Hourly'!O62)*(1+$B$4)^($B$1-'FREEVAL INPUT 2020 Hourly'!$B$1)</f>
        <v>110.41984109299318</v>
      </c>
      <c r="P62" s="21">
        <f>('FREEVAL INPUT 2020 Hourly'!P62)*(1+$B$4)^($B$1-'FREEVAL INPUT 2020 Hourly'!$B$1)</f>
        <v>592.63307118264697</v>
      </c>
      <c r="Q62" s="113">
        <f>('FREEVAL INPUT 2020 Hourly'!Q62)*(1+$B$4)^($B$1-'FREEVAL INPUT 2020 Hourly'!$B$1)</f>
        <v>32.14754867264358</v>
      </c>
      <c r="R62" s="21">
        <f>('FREEVAL INPUT 2020 Hourly'!R62)*(1+$B$4)^($B$1-'FREEVAL INPUT 2020 Hourly'!$B$1)</f>
        <v>560.48552251000331</v>
      </c>
    </row>
    <row r="63" spans="1:18" x14ac:dyDescent="0.25">
      <c r="B63" s="167" t="s">
        <v>235</v>
      </c>
      <c r="C63" s="167"/>
      <c r="D63" s="167"/>
      <c r="E63" s="167"/>
      <c r="F63" s="167"/>
      <c r="G63" s="167"/>
      <c r="H63" s="167"/>
    </row>
    <row r="64" spans="1:18" x14ac:dyDescent="0.25">
      <c r="B64" s="78"/>
      <c r="C64" s="22" t="s">
        <v>255</v>
      </c>
      <c r="D64" s="22"/>
      <c r="E64" s="22"/>
      <c r="F64" s="22"/>
    </row>
    <row r="65" spans="1:3" s="81" customFormat="1" x14ac:dyDescent="0.25">
      <c r="A65" s="79"/>
      <c r="B65" s="95"/>
      <c r="C65" s="80" t="s">
        <v>257</v>
      </c>
    </row>
  </sheetData>
  <mergeCells count="2">
    <mergeCell ref="B31:H31"/>
    <mergeCell ref="B63:H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0"/>
  <sheetViews>
    <sheetView zoomScale="55" zoomScaleNormal="55" workbookViewId="0">
      <selection activeCell="J60" sqref="J60"/>
    </sheetView>
  </sheetViews>
  <sheetFormatPr defaultRowHeight="15" x14ac:dyDescent="0.25"/>
  <cols>
    <col min="1" max="1" width="23.85546875" bestFit="1" customWidth="1"/>
    <col min="2" max="2" width="15.85546875" style="42" bestFit="1" customWidth="1"/>
    <col min="3" max="3" width="36.7109375" style="42" bestFit="1" customWidth="1"/>
    <col min="4" max="4" width="32.85546875" style="42" bestFit="1" customWidth="1"/>
    <col min="5" max="5" width="45.85546875" style="42" bestFit="1" customWidth="1"/>
    <col min="6" max="6" width="36.7109375" bestFit="1" customWidth="1"/>
    <col min="7" max="7" width="33" bestFit="1" customWidth="1"/>
    <col min="8" max="8" width="40.140625" bestFit="1" customWidth="1"/>
    <col min="9" max="9" width="32.85546875" bestFit="1" customWidth="1"/>
    <col min="10" max="10" width="35.7109375" bestFit="1" customWidth="1"/>
    <col min="11" max="11" width="23.42578125" bestFit="1" customWidth="1"/>
    <col min="12" max="12" width="31.7109375" bestFit="1" customWidth="1"/>
    <col min="13" max="13" width="23.42578125" bestFit="1" customWidth="1"/>
    <col min="14" max="14" width="35.7109375" bestFit="1" customWidth="1"/>
    <col min="15" max="15" width="32.85546875" bestFit="1" customWidth="1"/>
    <col min="16" max="16" width="40.140625" bestFit="1" customWidth="1"/>
    <col min="17" max="17" width="35.7109375" customWidth="1"/>
    <col min="18" max="18" width="36.7109375" bestFit="1" customWidth="1"/>
  </cols>
  <sheetData>
    <row r="1" spans="1:18" x14ac:dyDescent="0.25">
      <c r="A1" s="14">
        <v>2020</v>
      </c>
      <c r="B1" s="53"/>
      <c r="C1" s="53"/>
      <c r="D1" s="53"/>
      <c r="E1" s="5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t="s">
        <v>39</v>
      </c>
      <c r="B2" s="16"/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</row>
    <row r="3" spans="1:18" x14ac:dyDescent="0.25">
      <c r="B3" s="16" t="s">
        <v>203</v>
      </c>
      <c r="C3" s="16" t="s">
        <v>252</v>
      </c>
      <c r="D3" s="16" t="s">
        <v>251</v>
      </c>
      <c r="E3" s="16" t="s">
        <v>250</v>
      </c>
      <c r="F3" s="17" t="s">
        <v>189</v>
      </c>
      <c r="G3" s="17" t="s">
        <v>190</v>
      </c>
      <c r="H3" s="17" t="s">
        <v>191</v>
      </c>
      <c r="I3" s="17" t="s">
        <v>192</v>
      </c>
      <c r="J3" s="17" t="s">
        <v>193</v>
      </c>
      <c r="K3" s="17" t="s">
        <v>194</v>
      </c>
      <c r="L3" s="17" t="s">
        <v>195</v>
      </c>
      <c r="M3" s="17" t="s">
        <v>196</v>
      </c>
      <c r="N3" s="17" t="s">
        <v>197</v>
      </c>
      <c r="O3" s="17" t="s">
        <v>198</v>
      </c>
      <c r="P3" s="17" t="s">
        <v>199</v>
      </c>
      <c r="Q3" s="17" t="s">
        <v>200</v>
      </c>
      <c r="R3" s="17" t="s">
        <v>201</v>
      </c>
    </row>
    <row r="4" spans="1:18" x14ac:dyDescent="0.25">
      <c r="A4" s="49"/>
      <c r="B4" s="16" t="s">
        <v>6</v>
      </c>
      <c r="F4" s="17"/>
      <c r="G4" s="17" t="s">
        <v>9</v>
      </c>
      <c r="H4" s="17"/>
      <c r="I4" s="17" t="s">
        <v>13</v>
      </c>
      <c r="J4" s="17"/>
      <c r="K4" s="42" t="s">
        <v>17</v>
      </c>
      <c r="M4" s="17" t="s">
        <v>21</v>
      </c>
      <c r="N4" s="17" t="s">
        <v>24</v>
      </c>
      <c r="O4" s="17" t="s">
        <v>27</v>
      </c>
      <c r="P4" s="17"/>
      <c r="Q4" s="17" t="s">
        <v>31</v>
      </c>
    </row>
    <row r="5" spans="1:18" x14ac:dyDescent="0.25">
      <c r="A5" s="17"/>
      <c r="B5" s="16" t="s">
        <v>202</v>
      </c>
      <c r="C5" s="17" t="s">
        <v>40</v>
      </c>
      <c r="D5" s="17" t="s">
        <v>42</v>
      </c>
      <c r="E5" s="17" t="s">
        <v>40</v>
      </c>
      <c r="F5" s="17" t="s">
        <v>40</v>
      </c>
      <c r="G5" s="17" t="s">
        <v>41</v>
      </c>
      <c r="H5" s="17" t="s">
        <v>40</v>
      </c>
      <c r="I5" s="17" t="s">
        <v>42</v>
      </c>
      <c r="J5" s="17" t="s">
        <v>40</v>
      </c>
      <c r="K5" s="17" t="s">
        <v>41</v>
      </c>
      <c r="L5" s="17" t="s">
        <v>40</v>
      </c>
      <c r="M5" s="17" t="s">
        <v>42</v>
      </c>
      <c r="N5" s="17" t="s">
        <v>40</v>
      </c>
      <c r="O5" s="17" t="s">
        <v>41</v>
      </c>
      <c r="P5" s="17" t="s">
        <v>40</v>
      </c>
      <c r="Q5" s="17" t="s">
        <v>42</v>
      </c>
      <c r="R5" s="17" t="s">
        <v>40</v>
      </c>
    </row>
    <row r="6" spans="1:18" x14ac:dyDescent="0.25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38"/>
      <c r="B7" s="20">
        <v>0.25</v>
      </c>
      <c r="C7" s="21">
        <f>'FREEVAL INPUT 2020 Hourly'!D$13*'Rate Calculations &amp; PHF'!$BB$6</f>
        <v>1314.6503280245161</v>
      </c>
      <c r="D7" s="21">
        <f>'FREEVAL INPUT 2020 Hourly'!E$13*'Rate Calculations &amp; PHF'!$BB$6</f>
        <v>31.177478134968759</v>
      </c>
      <c r="E7" s="21">
        <f>'FREEVAL INPUT 2020 Hourly'!F$13*'Rate Calculations &amp; PHF'!$BB$6</f>
        <v>1345.8278061594847</v>
      </c>
      <c r="F7" s="21">
        <f>'FREEVAL INPUT 2020 Hourly'!G$13*'Rate Calculations &amp; PHF'!$BB$6</f>
        <v>1345.8278061594847</v>
      </c>
      <c r="G7" s="21">
        <f>'FREEVAL INPUT 2020 Hourly'!H$13*'Rate Calculations &amp; PHF'!$BB$6</f>
        <v>383.48298106011572</v>
      </c>
      <c r="H7" s="21">
        <f>'FREEVAL INPUT 2020 Hourly'!I$13*'Rate Calculations &amp; PHF'!$BB$6</f>
        <v>962.3448250993689</v>
      </c>
      <c r="I7" s="21">
        <f>'FREEVAL INPUT 2020 Hourly'!J$13*'Rate Calculations &amp; PHF'!$BB$6</f>
        <v>80.022193879753146</v>
      </c>
      <c r="J7" s="21">
        <f>'FREEVAL INPUT 2020 Hourly'!K$13*'Rate Calculations &amp; PHF'!$BB$6</f>
        <v>1042.3670189791221</v>
      </c>
      <c r="K7" s="21">
        <f>'FREEVAL INPUT 2020 Hourly'!L$13*'Rate Calculations &amp; PHF'!$BB$6</f>
        <v>303.46078718036262</v>
      </c>
      <c r="L7" s="21">
        <f>'FREEVAL INPUT 2020 Hourly'!M$13*'Rate Calculations &amp; PHF'!$BB$6</f>
        <v>738.90623179875956</v>
      </c>
      <c r="M7" s="21">
        <f>'FREEVAL INPUT 2020 Hourly'!N$13*'Rate Calculations &amp; PHF'!$BB$6</f>
        <v>117.43516764171565</v>
      </c>
      <c r="N7" s="21">
        <f>'FREEVAL INPUT 2020 Hourly'!O$13*'Rate Calculations &amp; PHF'!$BB$6</f>
        <v>856.34139944047524</v>
      </c>
      <c r="O7" s="21">
        <f>'FREEVAL INPUT 2020 Hourly'!P$13*'Rate Calculations &amp; PHF'!$BB$6</f>
        <v>39.491472304293765</v>
      </c>
      <c r="P7" s="21">
        <f>'FREEVAL INPUT 2020 Hourly'!Q$13*'Rate Calculations &amp; PHF'!$BB$6</f>
        <v>816.84992713618146</v>
      </c>
      <c r="Q7" s="21">
        <f>'FREEVAL INPUT 2020 Hourly'!R$13*'Rate Calculations &amp; PHF'!$BB$6</f>
        <v>78.98294460858753</v>
      </c>
      <c r="R7" s="21">
        <f>'FREEVAL INPUT 2020 Hourly'!S$13*'Rate Calculations &amp; PHF'!$BB$6</f>
        <v>895.83287174476891</v>
      </c>
    </row>
    <row r="8" spans="1:18" x14ac:dyDescent="0.25">
      <c r="A8" s="38"/>
      <c r="B8" s="20">
        <v>0.26041666666666702</v>
      </c>
      <c r="C8" s="21">
        <f>'FREEVAL INPUT 2020 Hourly'!D$13*'Rate Calculations &amp; PHF'!$BB$7</f>
        <v>1314.6503280245161</v>
      </c>
      <c r="D8" s="21">
        <f>'FREEVAL INPUT 2020 Hourly'!E$13*'Rate Calculations &amp; PHF'!$BB$7</f>
        <v>31.177478134968759</v>
      </c>
      <c r="E8" s="21">
        <f>'FREEVAL INPUT 2020 Hourly'!F$13*'Rate Calculations &amp; PHF'!$BB$7</f>
        <v>1345.8278061594847</v>
      </c>
      <c r="F8" s="21">
        <f>'FREEVAL INPUT 2020 Hourly'!G$13*'Rate Calculations &amp; PHF'!$BB$7</f>
        <v>1345.8278061594847</v>
      </c>
      <c r="G8" s="21">
        <f>'FREEVAL INPUT 2020 Hourly'!H$13*'Rate Calculations &amp; PHF'!$BB$7</f>
        <v>383.48298106011572</v>
      </c>
      <c r="H8" s="21">
        <f>'FREEVAL INPUT 2020 Hourly'!I$13*'Rate Calculations &amp; PHF'!$BB$7</f>
        <v>962.3448250993689</v>
      </c>
      <c r="I8" s="21">
        <f>'FREEVAL INPUT 2020 Hourly'!J$13*'Rate Calculations &amp; PHF'!$BB$7</f>
        <v>80.022193879753146</v>
      </c>
      <c r="J8" s="21">
        <f>'FREEVAL INPUT 2020 Hourly'!K$13*'Rate Calculations &amp; PHF'!$BB$7</f>
        <v>1042.3670189791221</v>
      </c>
      <c r="K8" s="21">
        <f>'FREEVAL INPUT 2020 Hourly'!L$13*'Rate Calculations &amp; PHF'!$BB$7</f>
        <v>303.46078718036262</v>
      </c>
      <c r="L8" s="21">
        <f>'FREEVAL INPUT 2020 Hourly'!M$13*'Rate Calculations &amp; PHF'!$BB$7</f>
        <v>738.90623179875956</v>
      </c>
      <c r="M8" s="21">
        <f>'FREEVAL INPUT 2020 Hourly'!N$13*'Rate Calculations &amp; PHF'!$BB$7</f>
        <v>117.43516764171565</v>
      </c>
      <c r="N8" s="21">
        <f>'FREEVAL INPUT 2020 Hourly'!O$13*'Rate Calculations &amp; PHF'!$BB$7</f>
        <v>856.34139944047524</v>
      </c>
      <c r="O8" s="21">
        <f>'FREEVAL INPUT 2020 Hourly'!P$13*'Rate Calculations &amp; PHF'!$BB$7</f>
        <v>39.491472304293765</v>
      </c>
      <c r="P8" s="21">
        <f>'FREEVAL INPUT 2020 Hourly'!Q$13*'Rate Calculations &amp; PHF'!$BB$7</f>
        <v>816.84992713618146</v>
      </c>
      <c r="Q8" s="21">
        <f>'FREEVAL INPUT 2020 Hourly'!R$13*'Rate Calculations &amp; PHF'!$BB$7</f>
        <v>78.98294460858753</v>
      </c>
      <c r="R8" s="21">
        <f>'FREEVAL INPUT 2020 Hourly'!S$13*'Rate Calculations &amp; PHF'!$BB$7</f>
        <v>895.83287174476891</v>
      </c>
    </row>
    <row r="9" spans="1:18" x14ac:dyDescent="0.25">
      <c r="A9" s="38"/>
      <c r="B9" s="20">
        <v>0.27083333333333398</v>
      </c>
      <c r="C9" s="21">
        <f>'FREEVAL INPUT 2020 Hourly'!D$13*'Rate Calculations &amp; PHF'!$BB$8</f>
        <v>1348.3593107943755</v>
      </c>
      <c r="D9" s="21">
        <f>'FREEVAL INPUT 2020 Hourly'!E$13*'Rate Calculations &amp; PHF'!$BB$8</f>
        <v>31.976900651250009</v>
      </c>
      <c r="E9" s="21">
        <f>'FREEVAL INPUT 2020 Hourly'!F$13*'Rate Calculations &amp; PHF'!$BB$8</f>
        <v>1380.3362114456254</v>
      </c>
      <c r="F9" s="21">
        <f>'FREEVAL INPUT 2020 Hourly'!G$13*'Rate Calculations &amp; PHF'!$BB$8</f>
        <v>1380.3362114456254</v>
      </c>
      <c r="G9" s="21">
        <f>'FREEVAL INPUT 2020 Hourly'!H$13*'Rate Calculations &amp; PHF'!$BB$8</f>
        <v>393.31587801037512</v>
      </c>
      <c r="H9" s="21">
        <f>'FREEVAL INPUT 2020 Hourly'!I$13*'Rate Calculations &amp; PHF'!$BB$8</f>
        <v>987.02033343525022</v>
      </c>
      <c r="I9" s="21">
        <f>'FREEVAL INPUT 2020 Hourly'!J$13*'Rate Calculations &amp; PHF'!$BB$8</f>
        <v>82.074045004875018</v>
      </c>
      <c r="J9" s="21">
        <f>'FREEVAL INPUT 2020 Hourly'!K$13*'Rate Calculations &amp; PHF'!$BB$8</f>
        <v>1069.0943784401252</v>
      </c>
      <c r="K9" s="21">
        <f>'FREEVAL INPUT 2020 Hourly'!L$13*'Rate Calculations &amp; PHF'!$BB$8</f>
        <v>311.2418330055001</v>
      </c>
      <c r="L9" s="21">
        <f>'FREEVAL INPUT 2020 Hourly'!M$13*'Rate Calculations &amp; PHF'!$BB$8</f>
        <v>757.8525454346252</v>
      </c>
      <c r="M9" s="21">
        <f>'FREEVAL INPUT 2020 Hourly'!N$13*'Rate Calculations &amp; PHF'!$BB$8</f>
        <v>120.44632578637503</v>
      </c>
      <c r="N9" s="21">
        <f>'FREEVAL INPUT 2020 Hourly'!O$13*'Rate Calculations &amp; PHF'!$BB$8</f>
        <v>878.29887122100024</v>
      </c>
      <c r="O9" s="21">
        <f>'FREEVAL INPUT 2020 Hourly'!P$13*'Rate Calculations &amp; PHF'!$BB$8</f>
        <v>40.504074158250013</v>
      </c>
      <c r="P9" s="21">
        <f>'FREEVAL INPUT 2020 Hourly'!Q$13*'Rate Calculations &amp; PHF'!$BB$8</f>
        <v>837.79479706275026</v>
      </c>
      <c r="Q9" s="21">
        <f>'FREEVAL INPUT 2020 Hourly'!R$13*'Rate Calculations &amp; PHF'!$BB$8</f>
        <v>81.008148316500026</v>
      </c>
      <c r="R9" s="21">
        <f>'FREEVAL INPUT 2020 Hourly'!S$13*'Rate Calculations &amp; PHF'!$BB$8</f>
        <v>918.80294537925022</v>
      </c>
    </row>
    <row r="10" spans="1:18" x14ac:dyDescent="0.25">
      <c r="A10" s="38"/>
      <c r="B10" s="20">
        <v>0.28125</v>
      </c>
      <c r="C10" s="21">
        <f>'FREEVAL INPUT 2020 Hourly'!D$13*'Rate Calculations &amp; PHF'!$BB$9</f>
        <v>1415.7772763340943</v>
      </c>
      <c r="D10" s="21">
        <f>'FREEVAL INPUT 2020 Hourly'!E$13*'Rate Calculations &amp; PHF'!$BB$9</f>
        <v>33.575745683812514</v>
      </c>
      <c r="E10" s="21">
        <f>'FREEVAL INPUT 2020 Hourly'!F$13*'Rate Calculations &amp; PHF'!$BB$9</f>
        <v>1449.3530220179068</v>
      </c>
      <c r="F10" s="21">
        <f>'FREEVAL INPUT 2020 Hourly'!G$13*'Rate Calculations &amp; PHF'!$BB$9</f>
        <v>1449.3530220179068</v>
      </c>
      <c r="G10" s="21">
        <f>'FREEVAL INPUT 2020 Hourly'!H$13*'Rate Calculations &amp; PHF'!$BB$9</f>
        <v>412.98167191089391</v>
      </c>
      <c r="H10" s="21">
        <f>'FREEVAL INPUT 2020 Hourly'!I$13*'Rate Calculations &amp; PHF'!$BB$9</f>
        <v>1036.3713501070129</v>
      </c>
      <c r="I10" s="21">
        <f>'FREEVAL INPUT 2020 Hourly'!J$13*'Rate Calculations &amp; PHF'!$BB$9</f>
        <v>86.177747255118774</v>
      </c>
      <c r="J10" s="21">
        <f>'FREEVAL INPUT 2020 Hourly'!K$13*'Rate Calculations &amp; PHF'!$BB$9</f>
        <v>1122.5490973621315</v>
      </c>
      <c r="K10" s="21">
        <f>'FREEVAL INPUT 2020 Hourly'!L$13*'Rate Calculations &amp; PHF'!$BB$9</f>
        <v>326.80392465577512</v>
      </c>
      <c r="L10" s="21">
        <f>'FREEVAL INPUT 2020 Hourly'!M$13*'Rate Calculations &amp; PHF'!$BB$9</f>
        <v>795.74517270635647</v>
      </c>
      <c r="M10" s="21">
        <f>'FREEVAL INPUT 2020 Hourly'!N$13*'Rate Calculations &amp; PHF'!$BB$9</f>
        <v>126.46864207569378</v>
      </c>
      <c r="N10" s="21">
        <f>'FREEVAL INPUT 2020 Hourly'!O$13*'Rate Calculations &amp; PHF'!$BB$9</f>
        <v>922.21381478205024</v>
      </c>
      <c r="O10" s="21">
        <f>'FREEVAL INPUT 2020 Hourly'!P$13*'Rate Calculations &amp; PHF'!$BB$9</f>
        <v>42.529277866162516</v>
      </c>
      <c r="P10" s="21">
        <f>'FREEVAL INPUT 2020 Hourly'!Q$13*'Rate Calculations &amp; PHF'!$BB$9</f>
        <v>879.68453691588786</v>
      </c>
      <c r="Q10" s="21">
        <f>'FREEVAL INPUT 2020 Hourly'!R$13*'Rate Calculations &amp; PHF'!$BB$9</f>
        <v>85.058555732325033</v>
      </c>
      <c r="R10" s="21">
        <f>'FREEVAL INPUT 2020 Hourly'!S$13*'Rate Calculations &amp; PHF'!$BB$9</f>
        <v>964.74309264821272</v>
      </c>
    </row>
    <row r="11" spans="1:18" s="78" customFormat="1" x14ac:dyDescent="0.25">
      <c r="A11" s="85"/>
      <c r="B11" s="86">
        <v>0.29166666666666702</v>
      </c>
      <c r="C11" s="90">
        <f>E11-D11</f>
        <v>1754.1396251416588</v>
      </c>
      <c r="D11" s="87">
        <f>'FREEVAL INPUT 2020 Hourly'!E14*(1-(1/(VLOOKUP('FREEVAL INPUT 2020 Hourly'!E14,'Rate Calculations &amp; PHF'!$AX$6:$AZ$11,3,TRUE))-0.9)/3)</f>
        <v>53.005220883534136</v>
      </c>
      <c r="E11" s="87">
        <f>H11+G11</f>
        <v>1807.1448460251929</v>
      </c>
      <c r="F11" s="87">
        <f>H11+G11</f>
        <v>1807.1448460251929</v>
      </c>
      <c r="G11" s="87">
        <f>'FREEVAL INPUT 2020 Hourly'!H14*(1-(1/(VLOOKUP('FREEVAL INPUT 2020 Hourly'!H14,'Rate Calculations &amp; PHF'!$AX$6:$AZ$11,3,TRUE))-0.9)/3)</f>
        <v>579.09097362307148</v>
      </c>
      <c r="H11" s="87">
        <f>J11-I11</f>
        <v>1228.0538724021214</v>
      </c>
      <c r="I11" s="87">
        <f>'FREEVAL INPUT 2020 Hourly'!J14*(1-(1/(VLOOKUP('FREEVAL INPUT 2020 Hourly'!J14,'Rate Calculations &amp; PHF'!$AX$6:$AZ$11,3,TRUE))-0.9)/3)</f>
        <v>110.02298850574714</v>
      </c>
      <c r="J11" s="87">
        <f>L11+K11</f>
        <v>1338.0768609078686</v>
      </c>
      <c r="K11" s="87">
        <f>'FREEVAL INPUT 2020 Hourly'!L14*(1-(1/(VLOOKUP('FREEVAL INPUT 2020 Hourly'!L14,'Rate Calculations &amp; PHF'!$AX$6:$AZ$11,3,TRUE))-0.9)/3)</f>
        <v>533.92789942369848</v>
      </c>
      <c r="L11" s="87">
        <f>N11-M11</f>
        <v>804.14896148417017</v>
      </c>
      <c r="M11" s="87">
        <f>'FREEVAL INPUT 2020 Hourly'!N14*(1-(1/(VLOOKUP('FREEVAL INPUT 2020 Hourly'!N14,'Rate Calculations &amp; PHF'!$AX$6:$AZ$11,3,TRUE))-0.9)/3)</f>
        <v>168.70191570881227</v>
      </c>
      <c r="N11" s="87">
        <f>'FREEVAL INPUT 2020 Hourly'!O14*(1-(1/(VLOOKUP('FREEVAL INPUT 2020 Hourly'!O14,'Rate Calculations &amp; PHF'!$AX$6:$AZ$11,3,TRUE))-0.9)/3)</f>
        <v>972.85087719298247</v>
      </c>
      <c r="O11" s="87">
        <f>'FREEVAL INPUT 2020 Hourly'!P14*(1-(1/(VLOOKUP('FREEVAL INPUT 2020 Hourly'!P14,'Rate Calculations &amp; PHF'!$AX$6:$AZ$11,3,TRUE))-0.9)/3)</f>
        <v>59.293975903614452</v>
      </c>
      <c r="P11" s="87">
        <f>N11-O11</f>
        <v>913.55690128936806</v>
      </c>
      <c r="Q11" s="87">
        <f>'FREEVAL INPUT 2020 Hourly'!R14*(1-(1/(VLOOKUP('FREEVAL INPUT 2020 Hourly'!R14,'Rate Calculations &amp; PHF'!$AX$6:$AZ$11,3,TRUE))-0.9)/3)</f>
        <v>164.18239473075522</v>
      </c>
      <c r="R11" s="87">
        <f>P11+Q11</f>
        <v>1077.7392960201232</v>
      </c>
    </row>
    <row r="12" spans="1:18" s="78" customFormat="1" x14ac:dyDescent="0.25">
      <c r="A12" s="85"/>
      <c r="B12" s="86">
        <v>0.30208333333333398</v>
      </c>
      <c r="C12" s="90">
        <f t="shared" ref="C12:C14" si="0">E12-D12</f>
        <v>1846.3435965120525</v>
      </c>
      <c r="D12" s="87">
        <f>'FREEVAL INPUT 2020 Hourly'!E14*(1-(1/(VLOOKUP('FREEVAL INPUT 2020 Hourly'!E14,'Rate Calculations &amp; PHF'!$AX$6:$AZ$11,3,TRUE))-1.05)/3)</f>
        <v>55.955220883534139</v>
      </c>
      <c r="E12" s="87">
        <f t="shared" ref="E12:E14" si="1">H12+G12</f>
        <v>1902.2988173955866</v>
      </c>
      <c r="F12" s="87">
        <f>H12+G12</f>
        <v>1902.2988173955866</v>
      </c>
      <c r="G12" s="87">
        <f>'FREEVAL INPUT 2020 Hourly'!H14*(1-(1/(VLOOKUP('FREEVAL INPUT 2020 Hourly'!H14,'Rate Calculations &amp; PHF'!$AX$6:$AZ$11,3,TRUE))-1.05)/3)</f>
        <v>609.84209308269033</v>
      </c>
      <c r="H12" s="87">
        <f>J12-I12</f>
        <v>1292.4567243128963</v>
      </c>
      <c r="I12" s="87">
        <f>'FREEVAL INPUT 2020 Hourly'!J14*(1-(1/(VLOOKUP('FREEVAL INPUT 2020 Hourly'!J14,'Rate Calculations &amp; PHF'!$AX$6:$AZ$11,3,TRUE))-1.05)/3)</f>
        <v>116.02298850574714</v>
      </c>
      <c r="J12" s="87">
        <f>L12+K12</f>
        <v>1408.4797128186435</v>
      </c>
      <c r="K12" s="87">
        <f>'FREEVAL INPUT 2020 Hourly'!L14*(1-(1/(VLOOKUP('FREEVAL INPUT 2020 Hourly'!L14,'Rate Calculations &amp; PHF'!$AX$6:$AZ$11,3,TRUE))-1.05)/3)</f>
        <v>562.28075133447351</v>
      </c>
      <c r="L12" s="87">
        <f>N12-M12</f>
        <v>846.19896148417001</v>
      </c>
      <c r="M12" s="87">
        <f>'FREEVAL INPUT 2020 Hourly'!N14*(1-(1/(VLOOKUP('FREEVAL INPUT 2020 Hourly'!N14,'Rate Calculations &amp; PHF'!$AX$6:$AZ$11,3,TRUE))-1.05)/3)</f>
        <v>177.90191570881228</v>
      </c>
      <c r="N12" s="87">
        <f>'FREEVAL INPUT 2020 Hourly'!O14*(1-(1/(VLOOKUP('FREEVAL INPUT 2020 Hourly'!O14,'Rate Calculations &amp; PHF'!$AX$6:$AZ$11,3,TRUE))-1.05)/3)</f>
        <v>1024.1008771929824</v>
      </c>
      <c r="O12" s="87">
        <f>'FREEVAL INPUT 2020 Hourly'!P14*(1-(1/(VLOOKUP('FREEVAL INPUT 2020 Hourly'!P14,'Rate Calculations &amp; PHF'!$AX$6:$AZ$11,3,TRUE))-1.05)/3)</f>
        <v>62.593975903614457</v>
      </c>
      <c r="P12" s="87">
        <f>N12-O12</f>
        <v>961.50690128936787</v>
      </c>
      <c r="Q12" s="87">
        <f>'FREEVAL INPUT 2020 Hourly'!R14*(1-(1/(VLOOKUP('FREEVAL INPUT 2020 Hourly'!R14,'Rate Calculations &amp; PHF'!$AX$6:$AZ$11,3,TRUE))-1.05)/3)</f>
        <v>173.13592691310524</v>
      </c>
      <c r="R12" s="87">
        <f>P12+Q12</f>
        <v>1134.6428282024731</v>
      </c>
    </row>
    <row r="13" spans="1:18" s="78" customFormat="1" x14ac:dyDescent="0.25">
      <c r="A13" s="85"/>
      <c r="B13" s="86">
        <v>0.312500000000001</v>
      </c>
      <c r="C13" s="90">
        <f t="shared" si="0"/>
        <v>1929.4908914657365</v>
      </c>
      <c r="D13" s="87">
        <f>('FREEVAL INPUT 2020 Hourly'!E14*(1/((VLOOKUP('FREEVAL INPUT 2020 Hourly'!E14,'Rate Calculations &amp; PHF'!$AX$6:$AZ$11,3,TRUE)))))</f>
        <v>71.0843373493976</v>
      </c>
      <c r="E13" s="87">
        <f t="shared" si="1"/>
        <v>2000.5752288151341</v>
      </c>
      <c r="F13" s="87">
        <f>H13+G13</f>
        <v>2000.5752288151341</v>
      </c>
      <c r="G13" s="87">
        <f>('FREEVAL INPUT 2020 Hourly'!H14*(1/((VLOOKUP('FREEVAL INPUT 2020 Hourly'!H14,'Rate Calculations &amp; PHF'!$AX$6:$AZ$11,3,TRUE)))))</f>
        <v>661.3143969810485</v>
      </c>
      <c r="H13" s="87">
        <f>J13-I13</f>
        <v>1339.2608318340856</v>
      </c>
      <c r="I13" s="87">
        <f>('FREEVAL INPUT 2020 Hourly'!J14*(1/((VLOOKUP('FREEVAL INPUT 2020 Hourly'!J14,'Rate Calculations &amp; PHF'!$AX$6:$AZ$11,3,TRUE)))))</f>
        <v>137.93103448275861</v>
      </c>
      <c r="J13" s="87">
        <f>L13+K13</f>
        <v>1477.1918663168442</v>
      </c>
      <c r="K13" s="87">
        <f>('FREEVAL INPUT 2020 Hourly'!L14*(1/((VLOOKUP('FREEVAL INPUT 2020 Hourly'!L14,'Rate Calculations &amp; PHF'!$AX$6:$AZ$11,3,TRUE)))))</f>
        <v>609.73875076935497</v>
      </c>
      <c r="L13" s="87">
        <f>N13-M13</f>
        <v>867.45311554748923</v>
      </c>
      <c r="M13" s="87">
        <f>('FREEVAL INPUT 2020 Hourly'!N14*(1/((VLOOKUP('FREEVAL INPUT 2020 Hourly'!N14,'Rate Calculations &amp; PHF'!$AX$6:$AZ$11,3,TRUE)))))</f>
        <v>211.4942528735632</v>
      </c>
      <c r="N13" s="87">
        <f>('FREEVAL INPUT 2020 Hourly'!O14*(1/((VLOOKUP('FREEVAL INPUT 2020 Hourly'!O14,'Rate Calculations &amp; PHF'!$AX$6:$AZ$11,3,TRUE)))))</f>
        <v>1078.9473684210525</v>
      </c>
      <c r="O13" s="87">
        <f>('FREEVAL INPUT 2020 Hourly'!P14*(1/((VLOOKUP('FREEVAL INPUT 2020 Hourly'!P14,'Rate Calculations &amp; PHF'!$AX$6:$AZ$11,3,TRUE)))))</f>
        <v>79.518072289156635</v>
      </c>
      <c r="P13" s="87">
        <f>N13-O13</f>
        <v>999.42929613189585</v>
      </c>
      <c r="Q13" s="87">
        <f>('FREEVAL INPUT 2020 Hourly'!R14*(1/((VLOOKUP('FREEVAL INPUT 2020 Hourly'!R14,'Rate Calculations &amp; PHF'!$AX$6:$AZ$11,3,TRUE)))))</f>
        <v>205.82832603103452</v>
      </c>
      <c r="R13" s="87">
        <f>P13+Q13</f>
        <v>1205.2576221629304</v>
      </c>
    </row>
    <row r="14" spans="1:18" s="78" customFormat="1" x14ac:dyDescent="0.25">
      <c r="A14" s="85"/>
      <c r="B14" s="86">
        <v>0.32291666666666702</v>
      </c>
      <c r="C14" s="90">
        <f t="shared" si="0"/>
        <v>1846.3435965120525</v>
      </c>
      <c r="D14" s="87">
        <f>'FREEVAL INPUT 2020 Hourly'!E14*(1-(1/(VLOOKUP('FREEVAL INPUT 2020 Hourly'!E14,'Rate Calculations &amp; PHF'!$AX$6:$AZ$11,3,TRUE))-1.05)/3)</f>
        <v>55.955220883534139</v>
      </c>
      <c r="E14" s="87">
        <f t="shared" si="1"/>
        <v>1902.2988173955866</v>
      </c>
      <c r="F14" s="87">
        <f>H14+G14</f>
        <v>1902.2988173955866</v>
      </c>
      <c r="G14" s="87">
        <f>'FREEVAL INPUT 2020 Hourly'!H14*(1-(1/(VLOOKUP('FREEVAL INPUT 2020 Hourly'!H14,'Rate Calculations &amp; PHF'!$AX$6:$AZ$11,3,TRUE))-1.05)/3)</f>
        <v>609.84209308269033</v>
      </c>
      <c r="H14" s="87">
        <f>J14-I14</f>
        <v>1292.4567243128963</v>
      </c>
      <c r="I14" s="87">
        <f>'FREEVAL INPUT 2020 Hourly'!J14*(1-(1/(VLOOKUP('FREEVAL INPUT 2020 Hourly'!J14,'Rate Calculations &amp; PHF'!$AX$6:$AZ$11,3,TRUE))-1.05)/3)</f>
        <v>116.02298850574714</v>
      </c>
      <c r="J14" s="87">
        <f>L14+K14</f>
        <v>1408.4797128186435</v>
      </c>
      <c r="K14" s="87">
        <f>'FREEVAL INPUT 2020 Hourly'!L14*(1-(1/(VLOOKUP('FREEVAL INPUT 2020 Hourly'!L14,'Rate Calculations &amp; PHF'!$AX$6:$AZ$11,3,TRUE))-1.05)/3)</f>
        <v>562.28075133447351</v>
      </c>
      <c r="L14" s="87">
        <f>N14-M14</f>
        <v>846.19896148417001</v>
      </c>
      <c r="M14" s="87">
        <f>'FREEVAL INPUT 2020 Hourly'!N14*(1-(1/(VLOOKUP('FREEVAL INPUT 2020 Hourly'!N14,'Rate Calculations &amp; PHF'!$AX$6:$AZ$11,3,TRUE))-1.05)/3)</f>
        <v>177.90191570881228</v>
      </c>
      <c r="N14" s="87">
        <f>'FREEVAL INPUT 2020 Hourly'!O14*(1-(1/(VLOOKUP('FREEVAL INPUT 2020 Hourly'!O14,'Rate Calculations &amp; PHF'!$AX$6:$AZ$11,3,TRUE))-1.05)/3)</f>
        <v>1024.1008771929824</v>
      </c>
      <c r="O14" s="87">
        <f>'FREEVAL INPUT 2020 Hourly'!P14*(1-(1/(VLOOKUP('FREEVAL INPUT 2020 Hourly'!P14,'Rate Calculations &amp; PHF'!$AX$6:$AZ$11,3,TRUE))-1.05)/3)</f>
        <v>62.593975903614457</v>
      </c>
      <c r="P14" s="87">
        <f>N14-O14</f>
        <v>961.50690128936787</v>
      </c>
      <c r="Q14" s="87">
        <f>'FREEVAL INPUT 2020 Hourly'!R14*(1-(1/(VLOOKUP('FREEVAL INPUT 2020 Hourly'!R14,'Rate Calculations &amp; PHF'!$AX$6:$AZ$11,3,TRUE))-1.05)/3)</f>
        <v>173.13592691310524</v>
      </c>
      <c r="R14" s="87">
        <f>P14+Q14</f>
        <v>1134.6428282024731</v>
      </c>
    </row>
    <row r="15" spans="1:18" x14ac:dyDescent="0.25">
      <c r="A15" s="38"/>
      <c r="B15" s="20">
        <v>0.33333333333333398</v>
      </c>
      <c r="C15" s="21">
        <f>'FREEVAL INPUT 2020 Hourly'!D$15*'Rate Calculations &amp; PHF'!$BC6</f>
        <v>2038.0477630074195</v>
      </c>
      <c r="D15" s="21">
        <f>'FREEVAL INPUT 2020 Hourly'!E$15*'Rate Calculations &amp; PHF'!$BC6</f>
        <v>64.913108322037516</v>
      </c>
      <c r="E15" s="21">
        <f>'FREEVAL INPUT 2020 Hourly'!F$15*'Rate Calculations &amp; PHF'!$BC6</f>
        <v>2102.9608713294569</v>
      </c>
      <c r="F15" s="21">
        <f>'FREEVAL INPUT 2020 Hourly'!G$15*'Rate Calculations &amp; PHF'!$BC6</f>
        <v>2102.9608713294569</v>
      </c>
      <c r="G15" s="21">
        <f>'FREEVAL INPUT 2020 Hourly'!H$15*'Rate Calculations &amp; PHF'!$BC6</f>
        <v>679.34925433580645</v>
      </c>
      <c r="H15" s="21">
        <f>'FREEVAL INPUT 2020 Hourly'!I$15*'Rate Calculations &amp; PHF'!$BC6</f>
        <v>1423.6116169936504</v>
      </c>
      <c r="I15" s="21">
        <f>'FREEVAL INPUT 2020 Hourly'!J$15*'Rate Calculations &amp; PHF'!$BC6</f>
        <v>129.82621664407503</v>
      </c>
      <c r="J15" s="21">
        <f>'FREEVAL INPUT 2020 Hourly'!K$15*'Rate Calculations &amp; PHF'!$BC6</f>
        <v>1553.4378336377256</v>
      </c>
      <c r="K15" s="21">
        <f>'FREEVAL INPUT 2020 Hourly'!L$15*'Rate Calculations &amp; PHF'!$BC6</f>
        <v>683.82602042698147</v>
      </c>
      <c r="L15" s="21">
        <f>'FREEVAL INPUT 2020 Hourly'!M$15*'Rate Calculations &amp; PHF'!$BC6</f>
        <v>869.611813210744</v>
      </c>
      <c r="M15" s="21">
        <f>'FREEVAL INPUT 2020 Hourly'!N$15*'Rate Calculations &amp; PHF'!$BC6</f>
        <v>170.11711146465007</v>
      </c>
      <c r="N15" s="21">
        <f>'FREEVAL INPUT 2020 Hourly'!O$15*'Rate Calculations &amp; PHF'!$BC6</f>
        <v>1039.728924675394</v>
      </c>
      <c r="O15" s="21">
        <f>'FREEVAL INPUT 2020 Hourly'!P$15*'Rate Calculations &amp; PHF'!$BC6</f>
        <v>61.555533753656263</v>
      </c>
      <c r="P15" s="21">
        <f>'FREEVAL INPUT 2020 Hourly'!Q$15*'Rate Calculations &amp; PHF'!$BC6</f>
        <v>978.17339092173779</v>
      </c>
      <c r="Q15" s="21">
        <f>'FREEVAL INPUT 2020 Hourly'!R$15*'Rate Calculations &amp; PHF'!$BC6</f>
        <v>92.89289639188128</v>
      </c>
      <c r="R15" s="21">
        <f>'FREEVAL INPUT 2020 Hourly'!S$15*'Rate Calculations &amp; PHF'!$BC6</f>
        <v>1071.0662873136191</v>
      </c>
    </row>
    <row r="16" spans="1:18" x14ac:dyDescent="0.25">
      <c r="A16" s="38"/>
      <c r="B16" s="20">
        <v>0.343750000000001</v>
      </c>
      <c r="C16" s="21">
        <f>'FREEVAL INPUT 2020 Hourly'!D$15*'Rate Calculations &amp; PHF'!$BC7</f>
        <v>1940.9978695308755</v>
      </c>
      <c r="D16" s="21">
        <f>'FREEVAL INPUT 2020 Hourly'!E$15*'Rate Calculations &amp; PHF'!$BC7</f>
        <v>61.822007925750015</v>
      </c>
      <c r="E16" s="21">
        <f>'FREEVAL INPUT 2020 Hourly'!F$15*'Rate Calculations &amp; PHF'!$BC7</f>
        <v>2002.8198774566256</v>
      </c>
      <c r="F16" s="21">
        <f>'FREEVAL INPUT 2020 Hourly'!G$15*'Rate Calculations &amp; PHF'!$BC7</f>
        <v>2002.8198774566256</v>
      </c>
      <c r="G16" s="21">
        <f>'FREEVAL INPUT 2020 Hourly'!H$15*'Rate Calculations &amp; PHF'!$BC7</f>
        <v>646.99928984362521</v>
      </c>
      <c r="H16" s="21">
        <f>'FREEVAL INPUT 2020 Hourly'!I$15*'Rate Calculations &amp; PHF'!$BC7</f>
        <v>1355.8205876130003</v>
      </c>
      <c r="I16" s="21">
        <f>'FREEVAL INPUT 2020 Hourly'!J$15*'Rate Calculations &amp; PHF'!$BC7</f>
        <v>123.64401585150003</v>
      </c>
      <c r="J16" s="21">
        <f>'FREEVAL INPUT 2020 Hourly'!K$15*'Rate Calculations &amp; PHF'!$BC7</f>
        <v>1479.4646034645004</v>
      </c>
      <c r="K16" s="21">
        <f>'FREEVAL INPUT 2020 Hourly'!L$15*'Rate Calculations &amp; PHF'!$BC7</f>
        <v>651.26287659712523</v>
      </c>
      <c r="L16" s="21">
        <f>'FREEVAL INPUT 2020 Hourly'!M$15*'Rate Calculations &amp; PHF'!$BC7</f>
        <v>828.20172686737521</v>
      </c>
      <c r="M16" s="21">
        <f>'FREEVAL INPUT 2020 Hourly'!N$15*'Rate Calculations &amp; PHF'!$BC7</f>
        <v>162.01629663300005</v>
      </c>
      <c r="N16" s="21">
        <f>'FREEVAL INPUT 2020 Hourly'!O$15*'Rate Calculations &amp; PHF'!$BC7</f>
        <v>990.21802350037524</v>
      </c>
      <c r="O16" s="21">
        <f>'FREEVAL INPUT 2020 Hourly'!P$15*'Rate Calculations &amp; PHF'!$BC7</f>
        <v>58.624317860625013</v>
      </c>
      <c r="P16" s="21">
        <f>'FREEVAL INPUT 2020 Hourly'!Q$15*'Rate Calculations &amp; PHF'!$BC7</f>
        <v>931.59370563975028</v>
      </c>
      <c r="Q16" s="21">
        <f>'FREEVAL INPUT 2020 Hourly'!R$15*'Rate Calculations &amp; PHF'!$BC7</f>
        <v>88.469425135125022</v>
      </c>
      <c r="R16" s="21">
        <f>'FREEVAL INPUT 2020 Hourly'!S$15*'Rate Calculations &amp; PHF'!$BC7</f>
        <v>1020.0631307748753</v>
      </c>
    </row>
    <row r="17" spans="1:18" x14ac:dyDescent="0.25">
      <c r="A17" s="38"/>
      <c r="B17" s="20">
        <v>0.35416666666666702</v>
      </c>
      <c r="C17" s="21">
        <f>'FREEVAL INPUT 2020 Hourly'!D$15*'Rate Calculations &amp; PHF'!$BC8</f>
        <v>1892.4729227926036</v>
      </c>
      <c r="D17" s="21">
        <f>'FREEVAL INPUT 2020 Hourly'!E$15*'Rate Calculations &amp; PHF'!$BC8</f>
        <v>60.276457727606264</v>
      </c>
      <c r="E17" s="21">
        <f>'FREEVAL INPUT 2020 Hourly'!F$15*'Rate Calculations &amp; PHF'!$BC8</f>
        <v>1952.7493805202098</v>
      </c>
      <c r="F17" s="21">
        <f>'FREEVAL INPUT 2020 Hourly'!G$15*'Rate Calculations &amp; PHF'!$BC8</f>
        <v>1952.7493805202098</v>
      </c>
      <c r="G17" s="21">
        <f>'FREEVAL INPUT 2020 Hourly'!H$15*'Rate Calculations &amp; PHF'!$BC8</f>
        <v>630.82430759753458</v>
      </c>
      <c r="H17" s="21">
        <f>'FREEVAL INPUT 2020 Hourly'!I$15*'Rate Calculations &amp; PHF'!$BC8</f>
        <v>1321.9250729226753</v>
      </c>
      <c r="I17" s="21">
        <f>'FREEVAL INPUT 2020 Hourly'!J$15*'Rate Calculations &amp; PHF'!$BC8</f>
        <v>120.55291545521253</v>
      </c>
      <c r="J17" s="21">
        <f>'FREEVAL INPUT 2020 Hourly'!K$15*'Rate Calculations &amp; PHF'!$BC8</f>
        <v>1442.4779883778879</v>
      </c>
      <c r="K17" s="21">
        <f>'FREEVAL INPUT 2020 Hourly'!L$15*'Rate Calculations &amp; PHF'!$BC8</f>
        <v>634.98130468219711</v>
      </c>
      <c r="L17" s="21">
        <f>'FREEVAL INPUT 2020 Hourly'!M$15*'Rate Calculations &amp; PHF'!$BC8</f>
        <v>807.49668369569076</v>
      </c>
      <c r="M17" s="21">
        <f>'FREEVAL INPUT 2020 Hourly'!N$15*'Rate Calculations &amp; PHF'!$BC8</f>
        <v>157.96588921717506</v>
      </c>
      <c r="N17" s="21">
        <f>'FREEVAL INPUT 2020 Hourly'!O$15*'Rate Calculations &amp; PHF'!$BC8</f>
        <v>965.46257291286588</v>
      </c>
      <c r="O17" s="21">
        <f>'FREEVAL INPUT 2020 Hourly'!P$15*'Rate Calculations &amp; PHF'!$BC8</f>
        <v>57.158709914109387</v>
      </c>
      <c r="P17" s="21">
        <f>'FREEVAL INPUT 2020 Hourly'!Q$15*'Rate Calculations &amp; PHF'!$BC8</f>
        <v>908.30386299875647</v>
      </c>
      <c r="Q17" s="21">
        <f>'FREEVAL INPUT 2020 Hourly'!R$15*'Rate Calculations &amp; PHF'!$BC8</f>
        <v>86.2576895067469</v>
      </c>
      <c r="R17" s="21">
        <f>'FREEVAL INPUT 2020 Hourly'!S$15*'Rate Calculations &amp; PHF'!$BC8</f>
        <v>994.56155250550341</v>
      </c>
    </row>
    <row r="18" spans="1:18" s="81" customFormat="1" x14ac:dyDescent="0.25">
      <c r="A18" s="107"/>
      <c r="B18" s="108">
        <v>0.36458333333333398</v>
      </c>
      <c r="C18" s="109">
        <f>'FREEVAL INPUT 2020 Hourly'!D$15*'Rate Calculations &amp; PHF'!$BC9</f>
        <v>1892.4729227926036</v>
      </c>
      <c r="D18" s="109">
        <f>'FREEVAL INPUT 2020 Hourly'!E$15*'Rate Calculations &amp; PHF'!$BC9</f>
        <v>60.276457727606264</v>
      </c>
      <c r="E18" s="109">
        <f>'FREEVAL INPUT 2020 Hourly'!F$15*'Rate Calculations &amp; PHF'!$BC9</f>
        <v>1952.7493805202098</v>
      </c>
      <c r="F18" s="109">
        <f>'FREEVAL INPUT 2020 Hourly'!G$15*'Rate Calculations &amp; PHF'!$BC9</f>
        <v>1952.7493805202098</v>
      </c>
      <c r="G18" s="109">
        <f>'FREEVAL INPUT 2020 Hourly'!H$15*'Rate Calculations &amp; PHF'!$BC9</f>
        <v>630.82430759753458</v>
      </c>
      <c r="H18" s="109">
        <f>'FREEVAL INPUT 2020 Hourly'!I$15*'Rate Calculations &amp; PHF'!$BC9</f>
        <v>1321.9250729226753</v>
      </c>
      <c r="I18" s="109">
        <f>'FREEVAL INPUT 2020 Hourly'!J$15*'Rate Calculations &amp; PHF'!$BC9</f>
        <v>120.55291545521253</v>
      </c>
      <c r="J18" s="109">
        <f>'FREEVAL INPUT 2020 Hourly'!K$15*'Rate Calculations &amp; PHF'!$BC9</f>
        <v>1442.4779883778879</v>
      </c>
      <c r="K18" s="109">
        <f>'FREEVAL INPUT 2020 Hourly'!L$15*'Rate Calculations &amp; PHF'!$BC9</f>
        <v>634.98130468219711</v>
      </c>
      <c r="L18" s="109">
        <f>'FREEVAL INPUT 2020 Hourly'!M$15*'Rate Calculations &amp; PHF'!$BC9</f>
        <v>807.49668369569076</v>
      </c>
      <c r="M18" s="109">
        <f>'FREEVAL INPUT 2020 Hourly'!N$15*'Rate Calculations &amp; PHF'!$BC9</f>
        <v>157.96588921717506</v>
      </c>
      <c r="N18" s="109">
        <f>'FREEVAL INPUT 2020 Hourly'!O$15*'Rate Calculations &amp; PHF'!$BC9</f>
        <v>965.46257291286588</v>
      </c>
      <c r="O18" s="109">
        <f>'FREEVAL INPUT 2020 Hourly'!P$15*'Rate Calculations &amp; PHF'!$BC9</f>
        <v>57.158709914109387</v>
      </c>
      <c r="P18" s="109">
        <f>'FREEVAL INPUT 2020 Hourly'!Q$15*'Rate Calculations &amp; PHF'!$BC9</f>
        <v>908.30386299875647</v>
      </c>
      <c r="Q18" s="109">
        <f>'FREEVAL INPUT 2020 Hourly'!R$15*'Rate Calculations &amp; PHF'!$BC9</f>
        <v>86.2576895067469</v>
      </c>
      <c r="R18" s="109">
        <f>'FREEVAL INPUT 2020 Hourly'!S$15*'Rate Calculations &amp; PHF'!$BC9</f>
        <v>994.56155250550341</v>
      </c>
    </row>
    <row r="19" spans="1:18" x14ac:dyDescent="0.25">
      <c r="A19" s="38"/>
      <c r="B19" s="20">
        <v>0.625000000000002</v>
      </c>
      <c r="C19" s="21">
        <f>'FREEVAL INPUT 2020 Hourly'!D$22*'Rate Calculations &amp; PHF'!$BB6</f>
        <v>3924.2052479214012</v>
      </c>
      <c r="D19" s="21">
        <f>'FREEVAL INPUT 2020 Hourly'!E$22*'Rate Calculations &amp; PHF'!$BB6</f>
        <v>101.84642857423128</v>
      </c>
      <c r="E19" s="21">
        <f>'FREEVAL INPUT 2020 Hourly'!F$22*'Rate Calculations &amp; PHF'!$BB6</f>
        <v>4026.0516764956324</v>
      </c>
      <c r="F19" s="21">
        <f>'FREEVAL INPUT 2020 Hourly'!G$22*'Rate Calculations &amp; PHF'!$BB6</f>
        <v>4026.0516764956324</v>
      </c>
      <c r="G19" s="21">
        <f>'FREEVAL INPUT 2020 Hourly'!H$22*'Rate Calculations &amp; PHF'!$BB6</f>
        <v>1117.1929665030473</v>
      </c>
      <c r="H19" s="21">
        <f>'FREEVAL INPUT 2020 Hourly'!I$22*'Rate Calculations &amp; PHF'!$BB6</f>
        <v>2908.8587099925849</v>
      </c>
      <c r="I19" s="21">
        <f>'FREEVAL INPUT 2020 Hourly'!J$22*'Rate Calculations &amp; PHF'!$BB6</f>
        <v>183.94712099631568</v>
      </c>
      <c r="J19" s="21">
        <f>'FREEVAL INPUT 2020 Hourly'!K$22*'Rate Calculations &amp; PHF'!$BB6</f>
        <v>3092.8058309889011</v>
      </c>
      <c r="K19" s="21">
        <f>'FREEVAL INPUT 2020 Hourly'!L$22*'Rate Calculations &amp; PHF'!$BB6</f>
        <v>1262.6878644662347</v>
      </c>
      <c r="L19" s="21">
        <f>'FREEVAL INPUT 2020 Hourly'!M$22*'Rate Calculations &amp; PHF'!$BB6</f>
        <v>1830.1179665226659</v>
      </c>
      <c r="M19" s="21">
        <f>'FREEVAL INPUT 2020 Hourly'!N$22*'Rate Calculations &amp; PHF'!$BB6</f>
        <v>340.87376094232513</v>
      </c>
      <c r="N19" s="21">
        <f>'FREEVAL INPUT 2020 Hourly'!O$22*'Rate Calculations &amp; PHF'!$BB6</f>
        <v>2170.9917274649911</v>
      </c>
      <c r="O19" s="21">
        <f>'FREEVAL INPUT 2020 Hourly'!P$22*'Rate Calculations &amp; PHF'!$BB6</f>
        <v>159.00513848834069</v>
      </c>
      <c r="P19" s="21">
        <f>'FREEVAL INPUT 2020 Hourly'!Q$22*'Rate Calculations &amp; PHF'!$BB6</f>
        <v>2011.9865889766504</v>
      </c>
      <c r="Q19" s="21">
        <f>'FREEVAL INPUT 2020 Hourly'!R$22*'Rate Calculations &amp; PHF'!$BB6</f>
        <v>167.31913265766568</v>
      </c>
      <c r="R19" s="21">
        <f>'FREEVAL INPUT 2020 Hourly'!S$22*'Rate Calculations &amp; PHF'!$BB6</f>
        <v>2179.3057216343163</v>
      </c>
    </row>
    <row r="20" spans="1:18" x14ac:dyDescent="0.25">
      <c r="A20" s="38"/>
      <c r="B20" s="20">
        <v>0.63541666666666796</v>
      </c>
      <c r="C20" s="21">
        <f>'FREEVAL INPUT 2020 Hourly'!D$22*'Rate Calculations &amp; PHF'!$BB7</f>
        <v>3924.2052479214012</v>
      </c>
      <c r="D20" s="21">
        <f>'FREEVAL INPUT 2020 Hourly'!E$22*'Rate Calculations &amp; PHF'!$BB7</f>
        <v>101.84642857423128</v>
      </c>
      <c r="E20" s="21">
        <f>'FREEVAL INPUT 2020 Hourly'!F$22*'Rate Calculations &amp; PHF'!$BB7</f>
        <v>4026.0516764956324</v>
      </c>
      <c r="F20" s="21">
        <f>'FREEVAL INPUT 2020 Hourly'!G$22*'Rate Calculations &amp; PHF'!$BB7</f>
        <v>4026.0516764956324</v>
      </c>
      <c r="G20" s="21">
        <f>'FREEVAL INPUT 2020 Hourly'!H$22*'Rate Calculations &amp; PHF'!$BB7</f>
        <v>1117.1929665030473</v>
      </c>
      <c r="H20" s="21">
        <f>'FREEVAL INPUT 2020 Hourly'!I$22*'Rate Calculations &amp; PHF'!$BB7</f>
        <v>2908.8587099925849</v>
      </c>
      <c r="I20" s="21">
        <f>'FREEVAL INPUT 2020 Hourly'!J$22*'Rate Calculations &amp; PHF'!$BB7</f>
        <v>183.94712099631568</v>
      </c>
      <c r="J20" s="21">
        <f>'FREEVAL INPUT 2020 Hourly'!K$22*'Rate Calculations &amp; PHF'!$BB7</f>
        <v>3092.8058309889011</v>
      </c>
      <c r="K20" s="21">
        <f>'FREEVAL INPUT 2020 Hourly'!L$22*'Rate Calculations &amp; PHF'!$BB7</f>
        <v>1262.6878644662347</v>
      </c>
      <c r="L20" s="21">
        <f>'FREEVAL INPUT 2020 Hourly'!M$22*'Rate Calculations &amp; PHF'!$BB7</f>
        <v>1830.1179665226659</v>
      </c>
      <c r="M20" s="21">
        <f>'FREEVAL INPUT 2020 Hourly'!N$22*'Rate Calculations &amp; PHF'!$BB7</f>
        <v>340.87376094232513</v>
      </c>
      <c r="N20" s="21">
        <f>'FREEVAL INPUT 2020 Hourly'!O$22*'Rate Calculations &amp; PHF'!$BB7</f>
        <v>2170.9917274649911</v>
      </c>
      <c r="O20" s="21">
        <f>'FREEVAL INPUT 2020 Hourly'!P$22*'Rate Calculations &amp; PHF'!$BB7</f>
        <v>159.00513848834069</v>
      </c>
      <c r="P20" s="21">
        <f>'FREEVAL INPUT 2020 Hourly'!Q$22*'Rate Calculations &amp; PHF'!$BB7</f>
        <v>2011.9865889766504</v>
      </c>
      <c r="Q20" s="21">
        <f>'FREEVAL INPUT 2020 Hourly'!R$22*'Rate Calculations &amp; PHF'!$BB7</f>
        <v>167.31913265766568</v>
      </c>
      <c r="R20" s="21">
        <f>'FREEVAL INPUT 2020 Hourly'!S$22*'Rate Calculations &amp; PHF'!$BB7</f>
        <v>2179.3057216343163</v>
      </c>
    </row>
    <row r="21" spans="1:18" x14ac:dyDescent="0.25">
      <c r="A21" s="38"/>
      <c r="B21" s="20">
        <v>0.64583333333333504</v>
      </c>
      <c r="C21" s="21">
        <f>'FREEVAL INPUT 2020 Hourly'!D$22*'Rate Calculations &amp; PHF'!$BB8</f>
        <v>4024.8258953040013</v>
      </c>
      <c r="D21" s="21">
        <f>'FREEVAL INPUT 2020 Hourly'!E$22*'Rate Calculations &amp; PHF'!$BB8</f>
        <v>104.45787546075003</v>
      </c>
      <c r="E21" s="21">
        <f>'FREEVAL INPUT 2020 Hourly'!F$22*'Rate Calculations &amp; PHF'!$BB8</f>
        <v>4129.2837707647514</v>
      </c>
      <c r="F21" s="21">
        <f>'FREEVAL INPUT 2020 Hourly'!G$22*'Rate Calculations &amp; PHF'!$BB8</f>
        <v>4129.2837707647514</v>
      </c>
      <c r="G21" s="21">
        <f>'FREEVAL INPUT 2020 Hourly'!H$22*'Rate Calculations &amp; PHF'!$BB8</f>
        <v>1145.8389400031253</v>
      </c>
      <c r="H21" s="21">
        <f>'FREEVAL INPUT 2020 Hourly'!I$22*'Rate Calculations &amp; PHF'!$BB8</f>
        <v>2983.4448307616258</v>
      </c>
      <c r="I21" s="21">
        <f>'FREEVAL INPUT 2020 Hourly'!J$22*'Rate Calculations &amp; PHF'!$BB8</f>
        <v>188.66371384237505</v>
      </c>
      <c r="J21" s="21">
        <f>'FREEVAL INPUT 2020 Hourly'!K$22*'Rate Calculations &amp; PHF'!$BB8</f>
        <v>3172.1085446040011</v>
      </c>
      <c r="K21" s="21">
        <f>'FREEVAL INPUT 2020 Hourly'!L$22*'Rate Calculations &amp; PHF'!$BB8</f>
        <v>1295.0644763756254</v>
      </c>
      <c r="L21" s="21">
        <f>'FREEVAL INPUT 2020 Hourly'!M$22*'Rate Calculations &amp; PHF'!$BB8</f>
        <v>1877.0440682283754</v>
      </c>
      <c r="M21" s="21">
        <f>'FREEVAL INPUT 2020 Hourly'!N$22*'Rate Calculations &amp; PHF'!$BB8</f>
        <v>349.61411378700012</v>
      </c>
      <c r="N21" s="21">
        <f>'FREEVAL INPUT 2020 Hourly'!O$22*'Rate Calculations &amp; PHF'!$BB8</f>
        <v>2226.6581820153756</v>
      </c>
      <c r="O21" s="21">
        <f>'FREEVAL INPUT 2020 Hourly'!P$22*'Rate Calculations &amp; PHF'!$BB8</f>
        <v>163.08219332137506</v>
      </c>
      <c r="P21" s="21">
        <f>'FREEVAL INPUT 2020 Hourly'!Q$22*'Rate Calculations &amp; PHF'!$BB8</f>
        <v>2063.5759886940004</v>
      </c>
      <c r="Q21" s="21">
        <f>'FREEVAL INPUT 2020 Hourly'!R$22*'Rate Calculations &amp; PHF'!$BB8</f>
        <v>171.60936682837504</v>
      </c>
      <c r="R21" s="21">
        <f>'FREEVAL INPUT 2020 Hourly'!S$22*'Rate Calculations &amp; PHF'!$BB8</f>
        <v>2235.1853555223756</v>
      </c>
    </row>
    <row r="22" spans="1:18" x14ac:dyDescent="0.25">
      <c r="A22" s="38"/>
      <c r="B22" s="20">
        <v>0.656250000000002</v>
      </c>
      <c r="C22" s="21">
        <f>'FREEVAL INPUT 2020 Hourly'!D$22*'Rate Calculations &amp; PHF'!$BB9</f>
        <v>4226.0671900692014</v>
      </c>
      <c r="D22" s="21">
        <f>'FREEVAL INPUT 2020 Hourly'!E$22*'Rate Calculations &amp; PHF'!$BB9</f>
        <v>109.68076923378754</v>
      </c>
      <c r="E22" s="21">
        <f>'FREEVAL INPUT 2020 Hourly'!F$22*'Rate Calculations &amp; PHF'!$BB9</f>
        <v>4335.7479593029893</v>
      </c>
      <c r="F22" s="21">
        <f>'FREEVAL INPUT 2020 Hourly'!G$22*'Rate Calculations &amp; PHF'!$BB9</f>
        <v>4335.7479593029893</v>
      </c>
      <c r="G22" s="21">
        <f>'FREEVAL INPUT 2020 Hourly'!H$22*'Rate Calculations &amp; PHF'!$BB9</f>
        <v>1203.1308870032817</v>
      </c>
      <c r="H22" s="21">
        <f>'FREEVAL INPUT 2020 Hourly'!I$22*'Rate Calculations &amp; PHF'!$BB9</f>
        <v>3132.6170722997072</v>
      </c>
      <c r="I22" s="21">
        <f>'FREEVAL INPUT 2020 Hourly'!J$22*'Rate Calculations &amp; PHF'!$BB9</f>
        <v>198.09689953449382</v>
      </c>
      <c r="J22" s="21">
        <f>'FREEVAL INPUT 2020 Hourly'!K$22*'Rate Calculations &amp; PHF'!$BB9</f>
        <v>3330.7139718342014</v>
      </c>
      <c r="K22" s="21">
        <f>'FREEVAL INPUT 2020 Hourly'!L$22*'Rate Calculations &amp; PHF'!$BB9</f>
        <v>1359.8177001944068</v>
      </c>
      <c r="L22" s="21">
        <f>'FREEVAL INPUT 2020 Hourly'!M$22*'Rate Calculations &amp; PHF'!$BB9</f>
        <v>1970.8962716397943</v>
      </c>
      <c r="M22" s="21">
        <f>'FREEVAL INPUT 2020 Hourly'!N$22*'Rate Calculations &amp; PHF'!$BB9</f>
        <v>367.09481947635015</v>
      </c>
      <c r="N22" s="21">
        <f>'FREEVAL INPUT 2020 Hourly'!O$22*'Rate Calculations &amp; PHF'!$BB9</f>
        <v>2337.9910911161446</v>
      </c>
      <c r="O22" s="21">
        <f>'FREEVAL INPUT 2020 Hourly'!P$22*'Rate Calculations &amp; PHF'!$BB9</f>
        <v>171.23630298744382</v>
      </c>
      <c r="P22" s="21">
        <f>'FREEVAL INPUT 2020 Hourly'!Q$22*'Rate Calculations &amp; PHF'!$BB9</f>
        <v>2166.7547881287005</v>
      </c>
      <c r="Q22" s="21">
        <f>'FREEVAL INPUT 2020 Hourly'!R$22*'Rate Calculations &amp; PHF'!$BB9</f>
        <v>180.18983516979381</v>
      </c>
      <c r="R22" s="21">
        <f>'FREEVAL INPUT 2020 Hourly'!S$22*'Rate Calculations &amp; PHF'!$BB9</f>
        <v>2346.9446232984947</v>
      </c>
    </row>
    <row r="23" spans="1:18" s="78" customFormat="1" x14ac:dyDescent="0.25">
      <c r="A23" s="85"/>
      <c r="B23" s="86">
        <v>0.66666666666666796</v>
      </c>
      <c r="C23" s="90">
        <f>E23-D23</f>
        <v>3860.8730609463214</v>
      </c>
      <c r="D23" s="87">
        <f>'FREEVAL INPUT 2020 Hourly'!E23*(1-(1/(VLOOKUP('FREEVAL INPUT 2020 Hourly'!E23,'Rate Calculations &amp; PHF'!$AX$6:$AZ$11,3,TRUE))-0.9)/3)</f>
        <v>98.103831417624519</v>
      </c>
      <c r="E23" s="90">
        <f>H23+G23</f>
        <v>3958.9768923639458</v>
      </c>
      <c r="F23" s="87">
        <f>H23+G23</f>
        <v>3958.9768923639458</v>
      </c>
      <c r="G23" s="87">
        <f>'FREEVAL INPUT 2020 Hourly'!H23*(1-(1/(VLOOKUP('FREEVAL INPUT 2020 Hourly'!H23,'Rate Calculations &amp; PHF'!$AX$6:$AZ$11,3,TRUE))-0.9)/3)</f>
        <v>1072.3668682728555</v>
      </c>
      <c r="H23" s="87">
        <f>J23-I23</f>
        <v>2886.6100240910905</v>
      </c>
      <c r="I23" s="87">
        <f>'FREEVAL INPUT 2020 Hourly'!J23*(1-(1/(VLOOKUP('FREEVAL INPUT 2020 Hourly'!J23,'Rate Calculations &amp; PHF'!$AX$6:$AZ$11,3,TRUE))-0.9)/3)</f>
        <v>317.87391304347824</v>
      </c>
      <c r="J23" s="87">
        <f>L23+K23</f>
        <v>3204.4839371345688</v>
      </c>
      <c r="K23" s="87">
        <f>'FREEVAL INPUT 2020 Hourly'!L23*(1-(1/(VLOOKUP('FREEVAL INPUT 2020 Hourly'!L23,'Rate Calculations &amp; PHF'!$AX$6:$AZ$11,3,TRUE))-0.9)/3)</f>
        <v>1264.2315789473685</v>
      </c>
      <c r="L23" s="87">
        <f>N23-M23</f>
        <v>1940.2523581872003</v>
      </c>
      <c r="M23" s="87">
        <f>'FREEVAL INPUT 2020 Hourly'!N23*(1-(1/(VLOOKUP('FREEVAL INPUT 2020 Hourly'!N23,'Rate Calculations &amp; PHF'!$AX$6:$AZ$11,3,TRUE))-0.9)/3)</f>
        <v>390.79325584788762</v>
      </c>
      <c r="N23" s="87">
        <f>'FREEVAL INPUT 2020 Hourly'!O23*(1-(1/(VLOOKUP('FREEVAL INPUT 2020 Hourly'!O23,'Rate Calculations &amp; PHF'!$AX$6:$AZ$11,3,TRUE))-0.9)/3)</f>
        <v>2331.045614035088</v>
      </c>
      <c r="O23" s="87">
        <f>'FREEVAL INPUT 2020 Hourly'!P23*(1-(1/(VLOOKUP('FREEVAL INPUT 2020 Hourly'!P23,'Rate Calculations &amp; PHF'!$AX$6:$AZ$11,3,TRUE))-0.9)/3)</f>
        <v>246.61014492753623</v>
      </c>
      <c r="P23" s="87">
        <f>N23-O23</f>
        <v>2084.4354691075519</v>
      </c>
      <c r="Q23" s="87">
        <f>'FREEVAL INPUT 2020 Hourly'!R23*(1-(1/(VLOOKUP('FREEVAL INPUT 2020 Hourly'!R23,'Rate Calculations &amp; PHF'!$AX$6:$AZ$11,3,TRUE))-0.9)/3)</f>
        <v>240.0463768115942</v>
      </c>
      <c r="R23" s="87">
        <f>P23+Q23</f>
        <v>2324.4818459191461</v>
      </c>
    </row>
    <row r="24" spans="1:18" s="78" customFormat="1" x14ac:dyDescent="0.25">
      <c r="A24" s="85"/>
      <c r="B24" s="86">
        <v>0.67708333333333504</v>
      </c>
      <c r="C24" s="90">
        <f t="shared" ref="C24:C26" si="2">E24-D24</f>
        <v>4063.6273051724656</v>
      </c>
      <c r="D24" s="87">
        <f>'FREEVAL INPUT 2020 Hourly'!E23*(1-(1/(VLOOKUP('FREEVAL INPUT 2020 Hourly'!E23,'Rate Calculations &amp; PHF'!$AX$6:$AZ$11,3,TRUE))-1.05)/3)</f>
        <v>103.45383141762453</v>
      </c>
      <c r="E24" s="90">
        <f t="shared" ref="E24:E26" si="3">H24+G24</f>
        <v>4167.08113659009</v>
      </c>
      <c r="F24" s="87">
        <f>H24+G24</f>
        <v>4167.08113659009</v>
      </c>
      <c r="G24" s="87">
        <f>'FREEVAL INPUT 2020 Hourly'!H23*(1-(1/(VLOOKUP('FREEVAL INPUT 2020 Hourly'!H23,'Rate Calculations &amp; PHF'!$AX$6:$AZ$11,3,TRUE))-1.05)/3)</f>
        <v>1128.8593927567306</v>
      </c>
      <c r="H24" s="87">
        <f>J24-I24</f>
        <v>3038.2217438333591</v>
      </c>
      <c r="I24" s="87">
        <f>'FREEVAL INPUT 2020 Hourly'!J23*(1-(1/(VLOOKUP('FREEVAL INPUT 2020 Hourly'!J23,'Rate Calculations &amp; PHF'!$AX$6:$AZ$11,3,TRUE))-1.05)/3)</f>
        <v>334.82391304347829</v>
      </c>
      <c r="J24" s="87">
        <f>L24+K24</f>
        <v>3373.0456568768373</v>
      </c>
      <c r="K24" s="87">
        <f>'FREEVAL INPUT 2020 Hourly'!L23*(1-(1/(VLOOKUP('FREEVAL INPUT 2020 Hourly'!L23,'Rate Calculations &amp; PHF'!$AX$6:$AZ$11,3,TRUE))-1.05)/3)</f>
        <v>1330.8315789473684</v>
      </c>
      <c r="L24" s="87">
        <f>N24-M24</f>
        <v>2042.2140779294689</v>
      </c>
      <c r="M24" s="87">
        <f>'FREEVAL INPUT 2020 Hourly'!N23*(1-(1/(VLOOKUP('FREEVAL INPUT 2020 Hourly'!N23,'Rate Calculations &amp; PHF'!$AX$6:$AZ$11,3,TRUE))-1.05)/3)</f>
        <v>411.63153610561886</v>
      </c>
      <c r="N24" s="87">
        <f>'FREEVAL INPUT 2020 Hourly'!O23*(1-(1/(VLOOKUP('FREEVAL INPUT 2020 Hourly'!O23,'Rate Calculations &amp; PHF'!$AX$6:$AZ$11,3,TRUE))-1.05)/3)</f>
        <v>2453.8456140350877</v>
      </c>
      <c r="O24" s="87">
        <f>'FREEVAL INPUT 2020 Hourly'!P23*(1-(1/(VLOOKUP('FREEVAL INPUT 2020 Hourly'!P23,'Rate Calculations &amp; PHF'!$AX$6:$AZ$11,3,TRUE))-1.05)/3)</f>
        <v>259.76014492753626</v>
      </c>
      <c r="P24" s="87">
        <f>N24-O24</f>
        <v>2194.0854691075515</v>
      </c>
      <c r="Q24" s="87">
        <f>'FREEVAL INPUT 2020 Hourly'!R23*(1-(1/(VLOOKUP('FREEVAL INPUT 2020 Hourly'!R23,'Rate Calculations &amp; PHF'!$AX$6:$AZ$11,3,TRUE))-1.05)/3)</f>
        <v>252.84637681159421</v>
      </c>
      <c r="R24" s="87">
        <f>P24+Q24</f>
        <v>2446.9318459191459</v>
      </c>
    </row>
    <row r="25" spans="1:18" s="78" customFormat="1" x14ac:dyDescent="0.25">
      <c r="A25" s="85"/>
      <c r="B25" s="86">
        <v>0.687500000000002</v>
      </c>
      <c r="C25" s="90">
        <f t="shared" si="2"/>
        <v>4232.2118668002486</v>
      </c>
      <c r="D25" s="87">
        <f>('FREEVAL INPUT 2020 Hourly'!E23*(1/((VLOOKUP('FREEVAL INPUT 2020 Hourly'!E23,'Rate Calculations &amp; PHF'!$AX$6:$AZ$11,3,TRUE)))))</f>
        <v>122.98850574712642</v>
      </c>
      <c r="E25" s="90">
        <f t="shared" si="3"/>
        <v>4355.2003725473751</v>
      </c>
      <c r="F25" s="87">
        <f>H25+G25</f>
        <v>4355.2003725473751</v>
      </c>
      <c r="G25" s="87">
        <f>('FREEVAL INPUT 2020 Hourly'!H23*(1/((VLOOKUP('FREEVAL INPUT 2020 Hourly'!H23,'Rate Calculations &amp; PHF'!$AX$6:$AZ$11,3,TRUE)))))</f>
        <v>1189.3163049236844</v>
      </c>
      <c r="H25" s="87">
        <f>J25-I25</f>
        <v>3165.884067623691</v>
      </c>
      <c r="I25" s="87">
        <f>('FREEVAL INPUT 2020 Hourly'!J23*(1/((VLOOKUP('FREEVAL INPUT 2020 Hourly'!J23,'Rate Calculations &amp; PHF'!$AX$6:$AZ$11,3,TRUE)))))</f>
        <v>368.47826086956519</v>
      </c>
      <c r="J25" s="87">
        <f>L25+K25</f>
        <v>3534.362328493256</v>
      </c>
      <c r="K25" s="87">
        <f>('FREEVAL INPUT 2020 Hourly'!L23*(1/((VLOOKUP('FREEVAL INPUT 2020 Hourly'!L23,'Rate Calculations &amp; PHF'!$AX$6:$AZ$11,3,TRUE)))))</f>
        <v>1402.1052631578946</v>
      </c>
      <c r="L25" s="87">
        <f>N25-M25</f>
        <v>2132.2570653353614</v>
      </c>
      <c r="M25" s="87">
        <f>('FREEVAL INPUT 2020 Hourly'!N23*(1/((VLOOKUP('FREEVAL INPUT 2020 Hourly'!N23,'Rate Calculations &amp; PHF'!$AX$6:$AZ$11,3,TRUE)))))</f>
        <v>453.00609255937513</v>
      </c>
      <c r="N25" s="87">
        <f>('FREEVAL INPUT 2020 Hourly'!O23*(1/((VLOOKUP('FREEVAL INPUT 2020 Hourly'!O23,'Rate Calculations &amp; PHF'!$AX$6:$AZ$11,3,TRUE)))))</f>
        <v>2585.2631578947367</v>
      </c>
      <c r="O25" s="87">
        <f>('FREEVAL INPUT 2020 Hourly'!P23*(1/((VLOOKUP('FREEVAL INPUT 2020 Hourly'!P23,'Rate Calculations &amp; PHF'!$AX$6:$AZ$11,3,TRUE)))))</f>
        <v>285.86956521739131</v>
      </c>
      <c r="P25" s="87">
        <f>N25-O25</f>
        <v>2299.3935926773452</v>
      </c>
      <c r="Q25" s="87">
        <f>('FREEVAL INPUT 2020 Hourly'!R23*(1/((VLOOKUP('FREEVAL INPUT 2020 Hourly'!R23,'Rate Calculations &amp; PHF'!$AX$6:$AZ$11,3,TRUE)))))</f>
        <v>278.26086956521738</v>
      </c>
      <c r="R25" s="87">
        <f>P25+Q25</f>
        <v>2577.6544622425627</v>
      </c>
    </row>
    <row r="26" spans="1:18" s="78" customFormat="1" x14ac:dyDescent="0.25">
      <c r="A26" s="85"/>
      <c r="B26" s="86">
        <v>0.69791666666666796</v>
      </c>
      <c r="C26" s="90">
        <f t="shared" si="2"/>
        <v>4063.6273051724656</v>
      </c>
      <c r="D26" s="87">
        <f>'FREEVAL INPUT 2020 Hourly'!E23*(1-(1/(VLOOKUP('FREEVAL INPUT 2020 Hourly'!E23,'Rate Calculations &amp; PHF'!$AX$6:$AZ$11,3,TRUE))-1.05)/3)</f>
        <v>103.45383141762453</v>
      </c>
      <c r="E26" s="90">
        <f t="shared" si="3"/>
        <v>4167.08113659009</v>
      </c>
      <c r="F26" s="87">
        <f>H26+G26</f>
        <v>4167.08113659009</v>
      </c>
      <c r="G26" s="87">
        <f>'FREEVAL INPUT 2020 Hourly'!H23*(1-(1/(VLOOKUP('FREEVAL INPUT 2020 Hourly'!H23,'Rate Calculations &amp; PHF'!$AX$6:$AZ$11,3,TRUE))-1.05)/3)</f>
        <v>1128.8593927567306</v>
      </c>
      <c r="H26" s="87">
        <f>J26-I26</f>
        <v>3038.2217438333591</v>
      </c>
      <c r="I26" s="87">
        <f>'FREEVAL INPUT 2020 Hourly'!J23*(1-(1/(VLOOKUP('FREEVAL INPUT 2020 Hourly'!J23,'Rate Calculations &amp; PHF'!$AX$6:$AZ$11,3,TRUE))-1.05)/3)</f>
        <v>334.82391304347829</v>
      </c>
      <c r="J26" s="87">
        <f>L26+K26</f>
        <v>3373.0456568768373</v>
      </c>
      <c r="K26" s="87">
        <f>'FREEVAL INPUT 2020 Hourly'!L23*(1-(1/(VLOOKUP('FREEVAL INPUT 2020 Hourly'!L23,'Rate Calculations &amp; PHF'!$AX$6:$AZ$11,3,TRUE))-1.05)/3)</f>
        <v>1330.8315789473684</v>
      </c>
      <c r="L26" s="87">
        <f>N26-M26</f>
        <v>2042.2140779294689</v>
      </c>
      <c r="M26" s="87">
        <f>'FREEVAL INPUT 2020 Hourly'!N23*(1-(1/(VLOOKUP('FREEVAL INPUT 2020 Hourly'!N23,'Rate Calculations &amp; PHF'!$AX$6:$AZ$11,3,TRUE))-1.05)/3)</f>
        <v>411.63153610561886</v>
      </c>
      <c r="N26" s="87">
        <f>'FREEVAL INPUT 2020 Hourly'!O23*(1-(1/(VLOOKUP('FREEVAL INPUT 2020 Hourly'!O23,'Rate Calculations &amp; PHF'!$AX$6:$AZ$11,3,TRUE))-1.05)/3)</f>
        <v>2453.8456140350877</v>
      </c>
      <c r="O26" s="87">
        <f>'FREEVAL INPUT 2020 Hourly'!P23*(1-(1/(VLOOKUP('FREEVAL INPUT 2020 Hourly'!P23,'Rate Calculations &amp; PHF'!$AX$6:$AZ$11,3,TRUE))-1.05)/3)</f>
        <v>259.76014492753626</v>
      </c>
      <c r="P26" s="87">
        <f>N26-O26</f>
        <v>2194.0854691075515</v>
      </c>
      <c r="Q26" s="87">
        <f>'FREEVAL INPUT 2020 Hourly'!R23*(1-(1/(VLOOKUP('FREEVAL INPUT 2020 Hourly'!R23,'Rate Calculations &amp; PHF'!$AX$6:$AZ$11,3,TRUE))-1.05)/3)</f>
        <v>252.84637681159421</v>
      </c>
      <c r="R26" s="87">
        <f>P26+Q26</f>
        <v>2446.9318459191459</v>
      </c>
    </row>
    <row r="27" spans="1:18" x14ac:dyDescent="0.25">
      <c r="A27" s="38"/>
      <c r="B27" s="20">
        <v>0.70833333333333504</v>
      </c>
      <c r="C27" s="21">
        <f>'FREEVAL INPUT 2020 Hourly'!D$24*'Rate Calculations &amp; PHF'!$BC6</f>
        <v>4228.3055731147888</v>
      </c>
      <c r="D27" s="21">
        <f>'FREEVAL INPUT 2020 Hourly'!E$24*'Rate Calculations &amp; PHF'!$BC6</f>
        <v>117.51510989334378</v>
      </c>
      <c r="E27" s="21">
        <f>'FREEVAL INPUT 2020 Hourly'!F$24*'Rate Calculations &amp; PHF'!$BC6</f>
        <v>4345.8206830081326</v>
      </c>
      <c r="F27" s="21">
        <f>'FREEVAL INPUT 2020 Hourly'!G$24*'Rate Calculations &amp; PHF'!$BC6</f>
        <v>4345.8206830081326</v>
      </c>
      <c r="G27" s="21">
        <f>'FREEVAL INPUT 2020 Hourly'!H$24*'Rate Calculations &amp; PHF'!$BC6</f>
        <v>1237.8258242098877</v>
      </c>
      <c r="H27" s="21">
        <f>'FREEVAL INPUT 2020 Hourly'!I$24*'Rate Calculations &amp; PHF'!$BC6</f>
        <v>3107.9948587982444</v>
      </c>
      <c r="I27" s="21">
        <f>'FREEVAL INPUT 2020 Hourly'!J$24*'Rate Calculations &amp; PHF'!$BC6</f>
        <v>268.60596547050011</v>
      </c>
      <c r="J27" s="21">
        <f>'FREEVAL INPUT 2020 Hourly'!K$24*'Rate Calculations &amp; PHF'!$BC6</f>
        <v>3376.6008242687449</v>
      </c>
      <c r="K27" s="21">
        <f>'FREEVAL INPUT 2020 Hourly'!L$24*'Rate Calculations &amp; PHF'!$BC6</f>
        <v>1538.8883438414066</v>
      </c>
      <c r="L27" s="21">
        <f>'FREEVAL INPUT 2020 Hourly'!M$24*'Rate Calculations &amp; PHF'!$BC6</f>
        <v>1837.7124804273381</v>
      </c>
      <c r="M27" s="21">
        <f>'FREEVAL INPUT 2020 Hourly'!N$24*'Rate Calculations &amp; PHF'!$BC6</f>
        <v>421.9352040932439</v>
      </c>
      <c r="N27" s="21">
        <f>'FREEVAL INPUT 2020 Hourly'!O$24*'Rate Calculations &amp; PHF'!$BC6</f>
        <v>2259.6476845205821</v>
      </c>
      <c r="O27" s="21">
        <f>'FREEVAL INPUT 2020 Hourly'!P$24*'Rate Calculations &amp; PHF'!$BC6</f>
        <v>274.20192308446883</v>
      </c>
      <c r="P27" s="21">
        <f>'FREEVAL INPUT 2020 Hourly'!Q$24*'Rate Calculations &amp; PHF'!$BC6</f>
        <v>1985.4457614361131</v>
      </c>
      <c r="Q27" s="21">
        <f>'FREEVAL INPUT 2020 Hourly'!R$24*'Rate Calculations &amp; PHF'!$BC6</f>
        <v>227.19587912713135</v>
      </c>
      <c r="R27" s="21">
        <f>'FREEVAL INPUT 2020 Hourly'!S$24*'Rate Calculations &amp; PHF'!$BC6</f>
        <v>2212.6416405632444</v>
      </c>
    </row>
    <row r="28" spans="1:18" x14ac:dyDescent="0.25">
      <c r="A28" s="38"/>
      <c r="B28" s="20">
        <v>0.718750000000002</v>
      </c>
      <c r="C28" s="21">
        <f>'FREEVAL INPUT 2020 Hourly'!D$24*'Rate Calculations &amp; PHF'!$BC7</f>
        <v>4026.9576886807513</v>
      </c>
      <c r="D28" s="21">
        <f>'FREEVAL INPUT 2020 Hourly'!E$24*'Rate Calculations &amp; PHF'!$BC7</f>
        <v>111.91915227937503</v>
      </c>
      <c r="E28" s="21">
        <f>'FREEVAL INPUT 2020 Hourly'!F$24*'Rate Calculations &amp; PHF'!$BC7</f>
        <v>4138.8768409601262</v>
      </c>
      <c r="F28" s="21">
        <f>'FREEVAL INPUT 2020 Hourly'!G$24*'Rate Calculations &amp; PHF'!$BC7</f>
        <v>4138.8768409601262</v>
      </c>
      <c r="G28" s="21">
        <f>'FREEVAL INPUT 2020 Hourly'!H$24*'Rate Calculations &amp; PHF'!$BC7</f>
        <v>1178.8817373427503</v>
      </c>
      <c r="H28" s="21">
        <f>'FREEVAL INPUT 2020 Hourly'!I$24*'Rate Calculations &amp; PHF'!$BC7</f>
        <v>2959.9951036173757</v>
      </c>
      <c r="I28" s="21">
        <f>'FREEVAL INPUT 2020 Hourly'!J$24*'Rate Calculations &amp; PHF'!$BC7</f>
        <v>255.81520521000007</v>
      </c>
      <c r="J28" s="21">
        <f>'FREEVAL INPUT 2020 Hourly'!K$24*'Rate Calculations &amp; PHF'!$BC7</f>
        <v>3215.810308827376</v>
      </c>
      <c r="K28" s="21">
        <f>'FREEVAL INPUT 2020 Hourly'!L$24*'Rate Calculations &amp; PHF'!$BC7</f>
        <v>1465.6079465156254</v>
      </c>
      <c r="L28" s="21">
        <f>'FREEVAL INPUT 2020 Hourly'!M$24*'Rate Calculations &amp; PHF'!$BC7</f>
        <v>1750.2023623117504</v>
      </c>
      <c r="M28" s="21">
        <f>'FREEVAL INPUT 2020 Hourly'!N$24*'Rate Calculations &amp; PHF'!$BC7</f>
        <v>401.8430515173751</v>
      </c>
      <c r="N28" s="21">
        <f>'FREEVAL INPUT 2020 Hourly'!O$24*'Rate Calculations &amp; PHF'!$BC7</f>
        <v>2152.0454138291257</v>
      </c>
      <c r="O28" s="21">
        <f>'FREEVAL INPUT 2020 Hourly'!P$24*'Rate Calculations &amp; PHF'!$BC7</f>
        <v>261.14468865187507</v>
      </c>
      <c r="P28" s="21">
        <f>'FREEVAL INPUT 2020 Hourly'!Q$24*'Rate Calculations &amp; PHF'!$BC7</f>
        <v>1890.9007251772505</v>
      </c>
      <c r="Q28" s="21">
        <f>'FREEVAL INPUT 2020 Hourly'!R$24*'Rate Calculations &amp; PHF'!$BC7</f>
        <v>216.37702774012507</v>
      </c>
      <c r="R28" s="21">
        <f>'FREEVAL INPUT 2020 Hourly'!S$24*'Rate Calculations &amp; PHF'!$BC7</f>
        <v>2107.2777529173754</v>
      </c>
    </row>
    <row r="29" spans="1:18" x14ac:dyDescent="0.25">
      <c r="A29" s="38"/>
      <c r="B29" s="20">
        <v>0.72916666666666796</v>
      </c>
      <c r="C29" s="21">
        <f>'FREEVAL INPUT 2020 Hourly'!D$24*'Rate Calculations &amp; PHF'!$BC8</f>
        <v>3926.2837464637323</v>
      </c>
      <c r="D29" s="21">
        <f>'FREEVAL INPUT 2020 Hourly'!E$24*'Rate Calculations &amp; PHF'!$BC8</f>
        <v>109.12117347239065</v>
      </c>
      <c r="E29" s="21">
        <f>'FREEVAL INPUT 2020 Hourly'!F$24*'Rate Calculations &amp; PHF'!$BC8</f>
        <v>4035.404919936123</v>
      </c>
      <c r="F29" s="21">
        <f>'FREEVAL INPUT 2020 Hourly'!G$24*'Rate Calculations &amp; PHF'!$BC8</f>
        <v>4035.404919936123</v>
      </c>
      <c r="G29" s="21">
        <f>'FREEVAL INPUT 2020 Hourly'!H$24*'Rate Calculations &amp; PHF'!$BC8</f>
        <v>1149.4096939091814</v>
      </c>
      <c r="H29" s="21">
        <f>'FREEVAL INPUT 2020 Hourly'!I$24*'Rate Calculations &amp; PHF'!$BC8</f>
        <v>2885.9952260269411</v>
      </c>
      <c r="I29" s="21">
        <f>'FREEVAL INPUT 2020 Hourly'!J$24*'Rate Calculations &amp; PHF'!$BC8</f>
        <v>249.41982507975007</v>
      </c>
      <c r="J29" s="21">
        <f>'FREEVAL INPUT 2020 Hourly'!K$24*'Rate Calculations &amp; PHF'!$BC8</f>
        <v>3135.4150511066914</v>
      </c>
      <c r="K29" s="21">
        <f>'FREEVAL INPUT 2020 Hourly'!L$24*'Rate Calculations &amp; PHF'!$BC8</f>
        <v>1428.9677478527346</v>
      </c>
      <c r="L29" s="21">
        <f>'FREEVAL INPUT 2020 Hourly'!M$24*'Rate Calculations &amp; PHF'!$BC8</f>
        <v>1706.4473032539568</v>
      </c>
      <c r="M29" s="21">
        <f>'FREEVAL INPUT 2020 Hourly'!N$24*'Rate Calculations &amp; PHF'!$BC8</f>
        <v>391.7969752294407</v>
      </c>
      <c r="N29" s="21">
        <f>'FREEVAL INPUT 2020 Hourly'!O$24*'Rate Calculations &amp; PHF'!$BC8</f>
        <v>2098.2442784833975</v>
      </c>
      <c r="O29" s="21">
        <f>'FREEVAL INPUT 2020 Hourly'!P$24*'Rate Calculations &amp; PHF'!$BC8</f>
        <v>254.61607143557819</v>
      </c>
      <c r="P29" s="21">
        <f>'FREEVAL INPUT 2020 Hourly'!Q$24*'Rate Calculations &amp; PHF'!$BC8</f>
        <v>1843.6282070478192</v>
      </c>
      <c r="Q29" s="21">
        <f>'FREEVAL INPUT 2020 Hourly'!R$24*'Rate Calculations &amp; PHF'!$BC8</f>
        <v>210.96760204662195</v>
      </c>
      <c r="R29" s="21">
        <f>'FREEVAL INPUT 2020 Hourly'!S$24*'Rate Calculations &amp; PHF'!$BC8</f>
        <v>2054.5958090944409</v>
      </c>
    </row>
    <row r="30" spans="1:18" x14ac:dyDescent="0.25">
      <c r="A30" s="38"/>
      <c r="B30" s="20">
        <v>0.73958333333333504</v>
      </c>
      <c r="C30" s="21">
        <f>'FREEVAL INPUT 2020 Hourly'!D$24*'Rate Calculations &amp; PHF'!$BC9</f>
        <v>3926.2837464637323</v>
      </c>
      <c r="D30" s="21">
        <f>'FREEVAL INPUT 2020 Hourly'!E$24*'Rate Calculations &amp; PHF'!$BC9</f>
        <v>109.12117347239065</v>
      </c>
      <c r="E30" s="21">
        <f>'FREEVAL INPUT 2020 Hourly'!F$24*'Rate Calculations &amp; PHF'!$BC9</f>
        <v>4035.404919936123</v>
      </c>
      <c r="F30" s="21">
        <f>'FREEVAL INPUT 2020 Hourly'!G$24*'Rate Calculations &amp; PHF'!$BC9</f>
        <v>4035.404919936123</v>
      </c>
      <c r="G30" s="21">
        <f>'FREEVAL INPUT 2020 Hourly'!H$24*'Rate Calculations &amp; PHF'!$BC9</f>
        <v>1149.4096939091814</v>
      </c>
      <c r="H30" s="21">
        <f>'FREEVAL INPUT 2020 Hourly'!I$24*'Rate Calculations &amp; PHF'!$BC9</f>
        <v>2885.9952260269411</v>
      </c>
      <c r="I30" s="21">
        <f>'FREEVAL INPUT 2020 Hourly'!J$24*'Rate Calculations &amp; PHF'!$BC9</f>
        <v>249.41982507975007</v>
      </c>
      <c r="J30" s="21">
        <f>'FREEVAL INPUT 2020 Hourly'!K$24*'Rate Calculations &amp; PHF'!$BC9</f>
        <v>3135.4150511066914</v>
      </c>
      <c r="K30" s="21">
        <f>'FREEVAL INPUT 2020 Hourly'!L$24*'Rate Calculations &amp; PHF'!$BC9</f>
        <v>1428.9677478527346</v>
      </c>
      <c r="L30" s="21">
        <f>'FREEVAL INPUT 2020 Hourly'!M$24*'Rate Calculations &amp; PHF'!$BC9</f>
        <v>1706.4473032539568</v>
      </c>
      <c r="M30" s="21">
        <f>'FREEVAL INPUT 2020 Hourly'!N$24*'Rate Calculations &amp; PHF'!$BC9</f>
        <v>391.7969752294407</v>
      </c>
      <c r="N30" s="21">
        <f>'FREEVAL INPUT 2020 Hourly'!O$24*'Rate Calculations &amp; PHF'!$BC9</f>
        <v>2098.2442784833975</v>
      </c>
      <c r="O30" s="21">
        <f>'FREEVAL INPUT 2020 Hourly'!P$24*'Rate Calculations &amp; PHF'!$BC9</f>
        <v>254.61607143557819</v>
      </c>
      <c r="P30" s="21">
        <f>'FREEVAL INPUT 2020 Hourly'!Q$24*'Rate Calculations &amp; PHF'!$BC9</f>
        <v>1843.6282070478192</v>
      </c>
      <c r="Q30" s="21">
        <f>'FREEVAL INPUT 2020 Hourly'!R$24*'Rate Calculations &amp; PHF'!$BC9</f>
        <v>210.96760204662195</v>
      </c>
      <c r="R30" s="21">
        <f>'FREEVAL INPUT 2020 Hourly'!S$24*'Rate Calculations &amp; PHF'!$BC9</f>
        <v>2054.5958090944409</v>
      </c>
    </row>
    <row r="31" spans="1:18" s="81" customFormat="1" x14ac:dyDescent="0.25">
      <c r="B31" s="117"/>
      <c r="C31" s="117"/>
      <c r="D31" s="117"/>
      <c r="E31" s="117"/>
    </row>
    <row r="32" spans="1:18" x14ac:dyDescent="0.25">
      <c r="A32" t="s">
        <v>43</v>
      </c>
      <c r="B32" s="54"/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7">
        <v>9</v>
      </c>
      <c r="L32" s="17">
        <v>10</v>
      </c>
      <c r="M32" s="17">
        <v>11</v>
      </c>
      <c r="N32" s="21">
        <v>12</v>
      </c>
      <c r="O32" s="17">
        <v>13</v>
      </c>
      <c r="P32" s="21">
        <v>14</v>
      </c>
      <c r="Q32" s="17">
        <v>15</v>
      </c>
    </row>
    <row r="33" spans="1:17" x14ac:dyDescent="0.25">
      <c r="B33" s="16" t="s">
        <v>203</v>
      </c>
      <c r="C33" s="17" t="s">
        <v>201</v>
      </c>
      <c r="D33" s="17" t="s">
        <v>198</v>
      </c>
      <c r="E33" s="17" t="s">
        <v>199</v>
      </c>
      <c r="F33" s="17" t="s">
        <v>200</v>
      </c>
      <c r="G33" s="17" t="s">
        <v>197</v>
      </c>
      <c r="H33" s="17" t="s">
        <v>194</v>
      </c>
      <c r="I33" s="17" t="s">
        <v>195</v>
      </c>
      <c r="J33" s="17" t="s">
        <v>196</v>
      </c>
      <c r="K33" s="17" t="s">
        <v>193</v>
      </c>
      <c r="L33" s="17" t="s">
        <v>190</v>
      </c>
      <c r="M33" s="17" t="s">
        <v>191</v>
      </c>
      <c r="N33" s="17" t="s">
        <v>192</v>
      </c>
      <c r="O33" s="17" t="s">
        <v>189</v>
      </c>
      <c r="P33" s="116" t="s">
        <v>251</v>
      </c>
      <c r="Q33" s="99" t="s">
        <v>252</v>
      </c>
    </row>
    <row r="34" spans="1:17" x14ac:dyDescent="0.25">
      <c r="B34" s="16" t="s">
        <v>6</v>
      </c>
      <c r="C34" s="17"/>
      <c r="D34" s="17" t="s">
        <v>32</v>
      </c>
      <c r="E34" s="17"/>
      <c r="F34" s="17" t="s">
        <v>28</v>
      </c>
      <c r="G34" s="17" t="s">
        <v>25</v>
      </c>
      <c r="H34" s="17" t="s">
        <v>22</v>
      </c>
      <c r="I34" s="17"/>
      <c r="J34" s="42" t="s">
        <v>18</v>
      </c>
      <c r="K34" s="17"/>
      <c r="L34" s="17" t="s">
        <v>14</v>
      </c>
      <c r="M34" s="17"/>
      <c r="N34" s="17" t="s">
        <v>10</v>
      </c>
      <c r="O34" s="17"/>
    </row>
    <row r="35" spans="1:17" x14ac:dyDescent="0.25">
      <c r="B35" s="16" t="s">
        <v>202</v>
      </c>
      <c r="C35" s="17" t="s">
        <v>40</v>
      </c>
      <c r="D35" s="17" t="s">
        <v>41</v>
      </c>
      <c r="E35" s="17" t="s">
        <v>40</v>
      </c>
      <c r="F35" s="17" t="s">
        <v>42</v>
      </c>
      <c r="G35" s="17" t="s">
        <v>40</v>
      </c>
      <c r="H35" s="17" t="s">
        <v>41</v>
      </c>
      <c r="I35" s="17" t="s">
        <v>40</v>
      </c>
      <c r="J35" s="17" t="s">
        <v>42</v>
      </c>
      <c r="K35" s="17" t="s">
        <v>40</v>
      </c>
      <c r="L35" s="17" t="s">
        <v>41</v>
      </c>
      <c r="M35" s="17" t="s">
        <v>40</v>
      </c>
      <c r="N35" s="17" t="s">
        <v>42</v>
      </c>
      <c r="O35" s="17" t="s">
        <v>40</v>
      </c>
      <c r="P35" s="17" t="s">
        <v>41</v>
      </c>
      <c r="Q35" s="17" t="s">
        <v>40</v>
      </c>
    </row>
    <row r="36" spans="1:17" x14ac:dyDescent="0.25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5">
      <c r="A37" s="38"/>
      <c r="B37" s="20">
        <v>0.25</v>
      </c>
      <c r="C37" s="21">
        <f>'FREEVAL INPUT 2020 Hourly'!D$45*'Rate Calculations &amp; PHF'!$BB6</f>
        <v>2205.2869534134566</v>
      </c>
      <c r="D37" s="21">
        <f>'FREEVAL INPUT 2020 Hourly'!E$45*'Rate Calculations &amp; PHF'!$BB6</f>
        <v>73.786698252759393</v>
      </c>
      <c r="E37" s="21">
        <f>'FREEVAL INPUT 2020 Hourly'!F$45*'Rate Calculations &amp; PHF'!$BB6</f>
        <v>2131.5002551606972</v>
      </c>
      <c r="F37" s="21">
        <f>'FREEVAL INPUT 2020 Hourly'!G$45*'Rate Calculations &amp; PHF'!$BB6</f>
        <v>274.36180758772502</v>
      </c>
      <c r="G37" s="21">
        <f>'FREEVAL INPUT 2020 Hourly'!H$45*'Rate Calculations &amp; PHF'!$BB6</f>
        <v>2405.8620627484229</v>
      </c>
      <c r="H37" s="21">
        <f>'FREEVAL INPUT 2020 Hourly'!I$45*'Rate Calculations &amp; PHF'!$BB6</f>
        <v>209.92835277545632</v>
      </c>
      <c r="I37" s="21">
        <f>'FREEVAL INPUT 2020 Hourly'!J$45*'Rate Calculations &amp; PHF'!$BB6</f>
        <v>2195.9337099729664</v>
      </c>
      <c r="J37" s="21">
        <f>'FREEVAL INPUT 2020 Hourly'!K$45*'Rate Calculations &amp; PHF'!$BB6</f>
        <v>1250.2168732122473</v>
      </c>
      <c r="K37" s="21">
        <f>'FREEVAL INPUT 2020 Hourly'!L$45*'Rate Calculations &amp; PHF'!$BB6</f>
        <v>3446.1505831852137</v>
      </c>
      <c r="L37" s="21">
        <f>'FREEVAL INPUT 2020 Hourly'!M$45*'Rate Calculations &amp; PHF'!$BB6</f>
        <v>126.78841108220628</v>
      </c>
      <c r="M37" s="21">
        <f>'FREEVAL INPUT 2020 Hourly'!N$45*'Rate Calculations &amp; PHF'!$BB6</f>
        <v>3319.3621721030072</v>
      </c>
      <c r="N37" s="21">
        <f>'FREEVAL INPUT 2020 Hourly'!O$45*'Rate Calculations &amp; PHF'!$BB6</f>
        <v>1024.6997813693065</v>
      </c>
      <c r="O37" s="21">
        <f>'FREEVAL INPUT 2020 Hourly'!P$45*'Rate Calculations &amp; PHF'!$BB6</f>
        <v>4344.0619534723137</v>
      </c>
      <c r="P37" s="21">
        <f>'FREEVAL INPUT 2020 Hourly'!Q$45*'Rate Calculations &amp; PHF'!$BB6</f>
        <v>67.55120262576564</v>
      </c>
      <c r="Q37" s="21">
        <f>'FREEVAL INPUT 2020 Hourly'!R$45*'Rate Calculations &amp; PHF'!$BB6</f>
        <v>4276.510750846548</v>
      </c>
    </row>
    <row r="38" spans="1:17" x14ac:dyDescent="0.25">
      <c r="A38" s="38"/>
      <c r="B38" s="20">
        <v>0.26041666666666702</v>
      </c>
      <c r="C38" s="21">
        <f>'FREEVAL INPUT 2020 Hourly'!D$45*'Rate Calculations &amp; PHF'!$BB7</f>
        <v>2205.2869534134566</v>
      </c>
      <c r="D38" s="21">
        <f>'FREEVAL INPUT 2020 Hourly'!E$45*'Rate Calculations &amp; PHF'!$BB7</f>
        <v>73.786698252759393</v>
      </c>
      <c r="E38" s="21">
        <f>'FREEVAL INPUT 2020 Hourly'!F$45*'Rate Calculations &amp; PHF'!$BB7</f>
        <v>2131.5002551606972</v>
      </c>
      <c r="F38" s="21">
        <f>'FREEVAL INPUT 2020 Hourly'!G$45*'Rate Calculations &amp; PHF'!$BB7</f>
        <v>274.36180758772502</v>
      </c>
      <c r="G38" s="21">
        <f>'FREEVAL INPUT 2020 Hourly'!H$45*'Rate Calculations &amp; PHF'!$BB7</f>
        <v>2405.8620627484229</v>
      </c>
      <c r="H38" s="21">
        <f>'FREEVAL INPUT 2020 Hourly'!I$45*'Rate Calculations &amp; PHF'!$BB7</f>
        <v>209.92835277545632</v>
      </c>
      <c r="I38" s="21">
        <f>'FREEVAL INPUT 2020 Hourly'!J$45*'Rate Calculations &amp; PHF'!$BB7</f>
        <v>2195.9337099729664</v>
      </c>
      <c r="J38" s="21">
        <f>'FREEVAL INPUT 2020 Hourly'!K$45*'Rate Calculations &amp; PHF'!$BB7</f>
        <v>1250.2168732122473</v>
      </c>
      <c r="K38" s="21">
        <f>'FREEVAL INPUT 2020 Hourly'!L$45*'Rate Calculations &amp; PHF'!$BB7</f>
        <v>3446.1505831852137</v>
      </c>
      <c r="L38" s="21">
        <f>'FREEVAL INPUT 2020 Hourly'!M$45*'Rate Calculations &amp; PHF'!$BB7</f>
        <v>126.78841108220628</v>
      </c>
      <c r="M38" s="21">
        <f>'FREEVAL INPUT 2020 Hourly'!N$45*'Rate Calculations &amp; PHF'!$BB7</f>
        <v>3319.3621721030072</v>
      </c>
      <c r="N38" s="21">
        <f>'FREEVAL INPUT 2020 Hourly'!O$45*'Rate Calculations &amp; PHF'!$BB7</f>
        <v>1024.6997813693065</v>
      </c>
      <c r="O38" s="21">
        <f>'FREEVAL INPUT 2020 Hourly'!P$45*'Rate Calculations &amp; PHF'!$BB7</f>
        <v>4344.0619534723137</v>
      </c>
      <c r="P38" s="21">
        <f>'FREEVAL INPUT 2020 Hourly'!Q$45*'Rate Calculations &amp; PHF'!$BB7</f>
        <v>67.55120262576564</v>
      </c>
      <c r="Q38" s="21">
        <f>'FREEVAL INPUT 2020 Hourly'!R$45*'Rate Calculations &amp; PHF'!$BB7</f>
        <v>4276.510750846548</v>
      </c>
    </row>
    <row r="39" spans="1:17" x14ac:dyDescent="0.25">
      <c r="A39" s="38"/>
      <c r="B39" s="20">
        <v>0.27083333333333298</v>
      </c>
      <c r="C39" s="21">
        <f>'FREEVAL INPUT 2020 Hourly'!D$45*'Rate Calculations &amp; PHF'!$BB8</f>
        <v>2261.8327727317505</v>
      </c>
      <c r="D39" s="21">
        <f>'FREEVAL INPUT 2020 Hourly'!E$45*'Rate Calculations &amp; PHF'!$BB8</f>
        <v>75.678664874625014</v>
      </c>
      <c r="E39" s="21">
        <f>'FREEVAL INPUT 2020 Hourly'!F$45*'Rate Calculations &amp; PHF'!$BB8</f>
        <v>2186.1541078571254</v>
      </c>
      <c r="F39" s="21">
        <f>'FREEVAL INPUT 2020 Hourly'!G$45*'Rate Calculations &amp; PHF'!$BB8</f>
        <v>281.39672573100006</v>
      </c>
      <c r="G39" s="21">
        <f>'FREEVAL INPUT 2020 Hourly'!H$45*'Rate Calculations &amp; PHF'!$BB8</f>
        <v>2467.5508335881259</v>
      </c>
      <c r="H39" s="21">
        <f>'FREEVAL INPUT 2020 Hourly'!I$45*'Rate Calculations &amp; PHF'!$BB8</f>
        <v>215.31113105175007</v>
      </c>
      <c r="I39" s="21">
        <f>'FREEVAL INPUT 2020 Hourly'!J$45*'Rate Calculations &amp; PHF'!$BB8</f>
        <v>2252.2397025363757</v>
      </c>
      <c r="J39" s="21">
        <f>'FREEVAL INPUT 2020 Hourly'!K$45*'Rate Calculations &amp; PHF'!$BB8</f>
        <v>1282.2737161151254</v>
      </c>
      <c r="K39" s="21">
        <f>'FREEVAL INPUT 2020 Hourly'!L$45*'Rate Calculations &amp; PHF'!$BB8</f>
        <v>3534.5134186515011</v>
      </c>
      <c r="L39" s="21">
        <f>'FREEVAL INPUT 2020 Hourly'!M$45*'Rate Calculations &amp; PHF'!$BB8</f>
        <v>130.03939598175003</v>
      </c>
      <c r="M39" s="21">
        <f>'FREEVAL INPUT 2020 Hourly'!N$45*'Rate Calculations &amp; PHF'!$BB8</f>
        <v>3404.4740226697509</v>
      </c>
      <c r="N39" s="21">
        <f>'FREEVAL INPUT 2020 Hourly'!O$45*'Rate Calculations &amp; PHF'!$BB8</f>
        <v>1050.9741347377503</v>
      </c>
      <c r="O39" s="21">
        <f>'FREEVAL INPUT 2020 Hourly'!P$45*'Rate Calculations &amp; PHF'!$BB8</f>
        <v>4455.4481574075016</v>
      </c>
      <c r="P39" s="21">
        <f>'FREEVAL INPUT 2020 Hourly'!Q$45*'Rate Calculations &amp; PHF'!$BB8</f>
        <v>69.283284744375024</v>
      </c>
      <c r="Q39" s="21">
        <f>'FREEVAL INPUT 2020 Hourly'!R$45*'Rate Calculations &amp; PHF'!$BB8</f>
        <v>4386.1648726631265</v>
      </c>
    </row>
    <row r="40" spans="1:17" x14ac:dyDescent="0.25">
      <c r="A40" s="38"/>
      <c r="B40" s="20">
        <v>0.28125</v>
      </c>
      <c r="C40" s="21">
        <f>'FREEVAL INPUT 2020 Hourly'!D$45*'Rate Calculations &amp; PHF'!$BB9</f>
        <v>2374.924411368338</v>
      </c>
      <c r="D40" s="21">
        <f>'FREEVAL INPUT 2020 Hourly'!E$45*'Rate Calculations &amp; PHF'!$BB9</f>
        <v>79.462598118356269</v>
      </c>
      <c r="E40" s="21">
        <f>'FREEVAL INPUT 2020 Hourly'!F$45*'Rate Calculations &amp; PHF'!$BB9</f>
        <v>2295.4618132499818</v>
      </c>
      <c r="F40" s="21">
        <f>'FREEVAL INPUT 2020 Hourly'!G$45*'Rate Calculations &amp; PHF'!$BB9</f>
        <v>295.46656201755007</v>
      </c>
      <c r="G40" s="21">
        <f>'FREEVAL INPUT 2020 Hourly'!H$45*'Rate Calculations &amp; PHF'!$BB9</f>
        <v>2590.9283752675324</v>
      </c>
      <c r="H40" s="21">
        <f>'FREEVAL INPUT 2020 Hourly'!I$45*'Rate Calculations &amp; PHF'!$BB9</f>
        <v>226.07668760433759</v>
      </c>
      <c r="I40" s="21">
        <f>'FREEVAL INPUT 2020 Hourly'!J$45*'Rate Calculations &amp; PHF'!$BB9</f>
        <v>2364.8516876631948</v>
      </c>
      <c r="J40" s="21">
        <f>'FREEVAL INPUT 2020 Hourly'!K$45*'Rate Calculations &amp; PHF'!$BB9</f>
        <v>1346.3874019208818</v>
      </c>
      <c r="K40" s="21">
        <f>'FREEVAL INPUT 2020 Hourly'!L$45*'Rate Calculations &amp; PHF'!$BB9</f>
        <v>3711.2390895840763</v>
      </c>
      <c r="L40" s="21">
        <f>'FREEVAL INPUT 2020 Hourly'!M$45*'Rate Calculations &amp; PHF'!$BB9</f>
        <v>136.54136578083754</v>
      </c>
      <c r="M40" s="21">
        <f>'FREEVAL INPUT 2020 Hourly'!N$45*'Rate Calculations &amp; PHF'!$BB9</f>
        <v>3574.6977238032387</v>
      </c>
      <c r="N40" s="21">
        <f>'FREEVAL INPUT 2020 Hourly'!O$45*'Rate Calculations &amp; PHF'!$BB9</f>
        <v>1103.522841474638</v>
      </c>
      <c r="O40" s="21">
        <f>'FREEVAL INPUT 2020 Hourly'!P$45*'Rate Calculations &amp; PHF'!$BB9</f>
        <v>4678.2205652778766</v>
      </c>
      <c r="P40" s="21">
        <f>'FREEVAL INPUT 2020 Hourly'!Q$45*'Rate Calculations &amp; PHF'!$BB9</f>
        <v>72.747448981593777</v>
      </c>
      <c r="Q40" s="21">
        <f>'FREEVAL INPUT 2020 Hourly'!R$45*'Rate Calculations &amp; PHF'!$BB9</f>
        <v>4605.4731162962835</v>
      </c>
    </row>
    <row r="41" spans="1:17" s="78" customFormat="1" x14ac:dyDescent="0.25">
      <c r="A41" s="85"/>
      <c r="B41" s="86">
        <v>0.29166666666666702</v>
      </c>
      <c r="C41" s="87">
        <f>E41+D41</f>
        <v>2063.0062740559547</v>
      </c>
      <c r="D41" s="87">
        <f>'FREEVAL INPUT 2020 Hourly'!E$46*(1-(1/(VLOOKUP('FREEVAL INPUT 2020 Hourly'!E$46,'Rate Calculations &amp; PHF'!$AX$6:$AZ$11,3,TRUE))-0.9)/3)</f>
        <v>179.70421455938697</v>
      </c>
      <c r="E41" s="87">
        <f>G41-F41</f>
        <v>1883.3020594965676</v>
      </c>
      <c r="F41" s="87">
        <f>'FREEVAL INPUT 2020 Hourly'!G$46*(1-(1/(VLOOKUP('FREEVAL INPUT 2020 Hourly'!G$46,'Rate Calculations &amp; PHF'!$AX$6:$AZ$11,3,TRUE))-0.9)/3)</f>
        <v>331.00144927536229</v>
      </c>
      <c r="G41" s="87">
        <f>'FREEVAL INPUT 2020 Hourly'!H$46*(1-(1/(VLOOKUP('FREEVAL INPUT 2020 Hourly'!H$46,'Rate Calculations &amp; PHF'!$AX$6:$AZ$11,3,TRUE))-0.9)/3)</f>
        <v>2214.30350877193</v>
      </c>
      <c r="H41" s="87">
        <f>'FREEVAL INPUT 2020 Hourly'!I$46*(1-(1/(VLOOKUP('FREEVAL INPUT 2020 Hourly'!I$46,'Rate Calculations &amp; PHF'!$AX$6:$AZ$11,3,TRUE))-0.9)/3)</f>
        <v>355.38115942028986</v>
      </c>
      <c r="I41" s="87">
        <f>G41-H41</f>
        <v>1858.9223493516402</v>
      </c>
      <c r="J41" s="87">
        <f>'FREEVAL INPUT 2020 Hourly'!K$46*(1-(1/(VLOOKUP('FREEVAL INPUT 2020 Hourly'!K$46,'Rate Calculations &amp; PHF'!$AX$6:$AZ$11,3,TRUE))-0.9)/3)</f>
        <v>1334.3885841999024</v>
      </c>
      <c r="K41" s="87">
        <f>I41+J41</f>
        <v>3193.3109335515428</v>
      </c>
      <c r="L41" s="87">
        <f>'FREEVAL INPUT 2020 Hourly'!M$46*(1-(1/(VLOOKUP('FREEVAL INPUT 2020 Hourly'!M$46,'Rate Calculations &amp; PHF'!$AX$6:$AZ$11,3,TRUE))-0.9)/3)</f>
        <v>348.81739130434784</v>
      </c>
      <c r="M41" s="87">
        <f>K41-L41</f>
        <v>2844.4935422471949</v>
      </c>
      <c r="N41" s="87">
        <f>'FREEVAL INPUT 2020 Hourly'!O$46*(1-(1/(VLOOKUP('FREEVAL INPUT 2020 Hourly'!O$46,'Rate Calculations &amp; PHF'!$AX$6:$AZ$11,3,TRUE))-0.9)/3)</f>
        <v>1207.284210526316</v>
      </c>
      <c r="O41" s="87">
        <f>M41+N41</f>
        <v>4051.7777527735107</v>
      </c>
      <c r="P41" s="87">
        <f>'FREEVAL INPUT 2020 Hourly'!Q$46*(1-(1/(VLOOKUP('FREEVAL INPUT 2020 Hourly'!Q$46,'Rate Calculations &amp; PHF'!$AX$6:$AZ$11,3,TRUE))-0.9)/3)</f>
        <v>70.973092369477911</v>
      </c>
      <c r="Q41" s="104">
        <f>O41-P41</f>
        <v>3980.8046604040328</v>
      </c>
    </row>
    <row r="42" spans="1:17" s="78" customFormat="1" x14ac:dyDescent="0.25">
      <c r="A42" s="85"/>
      <c r="B42" s="86">
        <v>0.30208333333333298</v>
      </c>
      <c r="C42" s="87">
        <f>E42+D42</f>
        <v>2171.8062740559544</v>
      </c>
      <c r="D42" s="87">
        <f>'FREEVAL INPUT 2020 Hourly'!E$46*(1-(1/(VLOOKUP('FREEVAL INPUT 2020 Hourly'!E$46,'Rate Calculations &amp; PHF'!$AX$6:$AZ$11,3,TRUE))-1.05)/3)</f>
        <v>189.50421455938698</v>
      </c>
      <c r="E42" s="87">
        <f>G42-F42</f>
        <v>1982.3020594965674</v>
      </c>
      <c r="F42" s="87">
        <f>'FREEVAL INPUT 2020 Hourly'!G$46*(1-(1/(VLOOKUP('FREEVAL INPUT 2020 Hourly'!G$46,'Rate Calculations &amp; PHF'!$AX$6:$AZ$11,3,TRUE))-1.05)/3)</f>
        <v>348.65144927536232</v>
      </c>
      <c r="G42" s="87">
        <f>'FREEVAL INPUT 2020 Hourly'!H$46*(1-(1/(VLOOKUP('FREEVAL INPUT 2020 Hourly'!H$46,'Rate Calculations &amp; PHF'!$AX$6:$AZ$11,3,TRUE))-1.05)/3)</f>
        <v>2330.9535087719296</v>
      </c>
      <c r="H42" s="87">
        <f>'FREEVAL INPUT 2020 Hourly'!I$46*(1-(1/(VLOOKUP('FREEVAL INPUT 2020 Hourly'!I$46,'Rate Calculations &amp; PHF'!$AX$6:$AZ$11,3,TRUE))-1.05)/3)</f>
        <v>374.33115942028985</v>
      </c>
      <c r="I42" s="87">
        <f>G42-H42</f>
        <v>1956.6223493516397</v>
      </c>
      <c r="J42" s="87">
        <f>'FREEVAL INPUT 2020 Hourly'!K$46*(1-(1/(VLOOKUP('FREEVAL INPUT 2020 Hourly'!K$46,'Rate Calculations &amp; PHF'!$AX$6:$AZ$11,3,TRUE))-1.05)/3)</f>
        <v>1404.6844707982334</v>
      </c>
      <c r="K42" s="87">
        <f>I42+J42</f>
        <v>3361.3068201498731</v>
      </c>
      <c r="L42" s="87">
        <f>'FREEVAL INPUT 2020 Hourly'!M$46*(1-(1/(VLOOKUP('FREEVAL INPUT 2020 Hourly'!M$46,'Rate Calculations &amp; PHF'!$AX$6:$AZ$11,3,TRUE))-1.05)/3)</f>
        <v>367.41739130434786</v>
      </c>
      <c r="M42" s="87">
        <f>K42-L42</f>
        <v>2993.8894288455253</v>
      </c>
      <c r="N42" s="87">
        <f>'FREEVAL INPUT 2020 Hourly'!O$46*(1-(1/(VLOOKUP('FREEVAL INPUT 2020 Hourly'!O$46,'Rate Calculations &amp; PHF'!$AX$6:$AZ$11,3,TRUE))-1.05)/3)</f>
        <v>1270.8842105263159</v>
      </c>
      <c r="O42" s="87">
        <f>M42+N42</f>
        <v>4264.7736393718415</v>
      </c>
      <c r="P42" s="87">
        <f>'FREEVAL INPUT 2020 Hourly'!Q$46*(1-(1/(VLOOKUP('FREEVAL INPUT 2020 Hourly'!Q$46,'Rate Calculations &amp; PHF'!$AX$6:$AZ$11,3,TRUE))-1.05)/3)</f>
        <v>74.923092369477914</v>
      </c>
      <c r="Q42" s="104">
        <f t="shared" ref="Q42:Q44" si="4">O42-P42</f>
        <v>4189.8505470023638</v>
      </c>
    </row>
    <row r="43" spans="1:17" s="78" customFormat="1" x14ac:dyDescent="0.25">
      <c r="A43" s="85"/>
      <c r="B43" s="86">
        <v>0.3125</v>
      </c>
      <c r="C43" s="87">
        <f>E43+D43</f>
        <v>2297.3811778321365</v>
      </c>
      <c r="D43" s="87">
        <f>('FREEVAL INPUT 2020 Hourly'!E46*(1/((VLOOKUP('FREEVAL INPUT 2020 Hourly'!E46,'Rate Calculations &amp; PHF'!$AX$6:$AZ$11,3,TRUE)))))</f>
        <v>225.28735632183907</v>
      </c>
      <c r="E43" s="87">
        <f>G43-F43</f>
        <v>2072.0938215102974</v>
      </c>
      <c r="F43" s="87">
        <f>('FREEVAL INPUT 2020 Hourly'!G46*(1/((VLOOKUP('FREEVAL INPUT 2020 Hourly'!G46,'Rate Calculations &amp; PHF'!$AX$6:$AZ$11,3,TRUE)))))</f>
        <v>383.695652173913</v>
      </c>
      <c r="G43" s="87">
        <f>('FREEVAL INPUT 2020 Hourly'!H46*(1/((VLOOKUP('FREEVAL INPUT 2020 Hourly'!H46,'Rate Calculations &amp; PHF'!$AX$6:$AZ$11,3,TRUE)))))</f>
        <v>2455.7894736842104</v>
      </c>
      <c r="H43" s="87">
        <f>('FREEVAL INPUT 2020 Hourly'!I46*(1/((VLOOKUP('FREEVAL INPUT 2020 Hourly'!I46,'Rate Calculations &amp; PHF'!$AX$6:$AZ$11,3,TRUE)))))</f>
        <v>411.95652173913044</v>
      </c>
      <c r="I43" s="87">
        <f>G43-H43</f>
        <v>2043.8329519450799</v>
      </c>
      <c r="J43" s="87">
        <f>('FREEVAL INPUT 2020 Hourly'!K46*(1/((VLOOKUP('FREEVAL INPUT 2020 Hourly'!K46,'Rate Calculations &amp; PHF'!$AX$6:$AZ$11,3,TRUE)))))</f>
        <v>1479.9134020701317</v>
      </c>
      <c r="K43" s="87">
        <f>I43+J43</f>
        <v>3523.7463540152116</v>
      </c>
      <c r="L43" s="87">
        <f>('FREEVAL INPUT 2020 Hourly'!M46*(1/((VLOOKUP('FREEVAL INPUT 2020 Hourly'!M46,'Rate Calculations &amp; PHF'!$AX$6:$AZ$11,3,TRUE)))))</f>
        <v>404.3478260869565</v>
      </c>
      <c r="M43" s="87">
        <f>K43-L43</f>
        <v>3119.3985279282551</v>
      </c>
      <c r="N43" s="87">
        <f>('FREEVAL INPUT 2020 Hourly'!O46*(1/((VLOOKUP('FREEVAL INPUT 2020 Hourly'!O46,'Rate Calculations &amp; PHF'!$AX$6:$AZ$11,3,TRUE)))))</f>
        <v>1338.9473684210525</v>
      </c>
      <c r="O43" s="87">
        <f>M43+N43</f>
        <v>4458.3458963493076</v>
      </c>
      <c r="P43" s="87">
        <f>('FREEVAL INPUT 2020 Hourly'!Q46*(1/((VLOOKUP('FREEVAL INPUT 2020 Hourly'!Q46,'Rate Calculations &amp; PHF'!$AX$6:$AZ$11,3,TRUE)))))</f>
        <v>95.180722891566276</v>
      </c>
      <c r="Q43" s="104">
        <f t="shared" si="4"/>
        <v>4363.1651734577417</v>
      </c>
    </row>
    <row r="44" spans="1:17" s="78" customFormat="1" x14ac:dyDescent="0.25">
      <c r="A44" s="85"/>
      <c r="B44" s="86">
        <v>0.32291666666666702</v>
      </c>
      <c r="C44" s="87">
        <f>E44+D44</f>
        <v>2171.8062740559544</v>
      </c>
      <c r="D44" s="87">
        <f>'FREEVAL INPUT 2020 Hourly'!E$46*(1-(1/(VLOOKUP('FREEVAL INPUT 2020 Hourly'!E$46,'Rate Calculations &amp; PHF'!$AX$6:$AZ$11,3,TRUE))-1.05)/3)</f>
        <v>189.50421455938698</v>
      </c>
      <c r="E44" s="87">
        <f>G44-F44</f>
        <v>1982.3020594965674</v>
      </c>
      <c r="F44" s="87">
        <f>'FREEVAL INPUT 2020 Hourly'!G$46*(1-(1/(VLOOKUP('FREEVAL INPUT 2020 Hourly'!G$46,'Rate Calculations &amp; PHF'!$AX$6:$AZ$11,3,TRUE))-1.05)/3)</f>
        <v>348.65144927536232</v>
      </c>
      <c r="G44" s="87">
        <f>'FREEVAL INPUT 2020 Hourly'!H$46*(1-(1/(VLOOKUP('FREEVAL INPUT 2020 Hourly'!H$46,'Rate Calculations &amp; PHF'!$AX$6:$AZ$11,3,TRUE))-1.05)/3)</f>
        <v>2330.9535087719296</v>
      </c>
      <c r="H44" s="87">
        <f>'FREEVAL INPUT 2020 Hourly'!I$46*(1-(1/(VLOOKUP('FREEVAL INPUT 2020 Hourly'!I$46,'Rate Calculations &amp; PHF'!$AX$6:$AZ$11,3,TRUE))-1.05)/3)</f>
        <v>374.33115942028985</v>
      </c>
      <c r="I44" s="87">
        <f>G44-H44</f>
        <v>1956.6223493516397</v>
      </c>
      <c r="J44" s="87">
        <f>'FREEVAL INPUT 2020 Hourly'!K$46*(1-(1/(VLOOKUP('FREEVAL INPUT 2020 Hourly'!K$46,'Rate Calculations &amp; PHF'!$AX$6:$AZ$11,3,TRUE))-1.05)/3)</f>
        <v>1404.6844707982334</v>
      </c>
      <c r="K44" s="87">
        <f>I44+J44</f>
        <v>3361.3068201498731</v>
      </c>
      <c r="L44" s="87">
        <f>'FREEVAL INPUT 2020 Hourly'!M$46*(1-(1/(VLOOKUP('FREEVAL INPUT 2020 Hourly'!M$46,'Rate Calculations &amp; PHF'!$AX$6:$AZ$11,3,TRUE))-1.05)/3)</f>
        <v>367.41739130434786</v>
      </c>
      <c r="M44" s="87">
        <f>K44-L44</f>
        <v>2993.8894288455253</v>
      </c>
      <c r="N44" s="87">
        <f>'FREEVAL INPUT 2020 Hourly'!O$46*(1-(1/(VLOOKUP('FREEVAL INPUT 2020 Hourly'!O$46,'Rate Calculations &amp; PHF'!$AX$6:$AZ$11,3,TRUE))-1.05)/3)</f>
        <v>1270.8842105263159</v>
      </c>
      <c r="O44" s="87">
        <f>M44+N44</f>
        <v>4264.7736393718415</v>
      </c>
      <c r="P44" s="87">
        <f>'FREEVAL INPUT 2020 Hourly'!Q$46*(1-(1/(VLOOKUP('FREEVAL INPUT 2020 Hourly'!Q$46,'Rate Calculations &amp; PHF'!$AX$6:$AZ$11,3,TRUE))-1.05)/3)</f>
        <v>74.923092369477914</v>
      </c>
      <c r="Q44" s="104">
        <f t="shared" si="4"/>
        <v>4189.8505470023638</v>
      </c>
    </row>
    <row r="45" spans="1:17" x14ac:dyDescent="0.25">
      <c r="A45" s="38"/>
      <c r="B45" s="20">
        <v>0.33333333333333298</v>
      </c>
      <c r="C45" s="21">
        <f>'FREEVAL INPUT 2020 Hourly'!D$47*'Rate Calculations &amp; PHF'!$BC6</f>
        <v>1758.2498823089818</v>
      </c>
      <c r="D45" s="21">
        <f>'FREEVAL INPUT 2020 Hourly'!E$47*'Rate Calculations &amp; PHF'!$BC6</f>
        <v>132.06459968966254</v>
      </c>
      <c r="E45" s="21">
        <f>'FREEVAL INPUT 2020 Hourly'!F$47*'Rate Calculations &amp; PHF'!$BC6</f>
        <v>1626.1852826193192</v>
      </c>
      <c r="F45" s="21">
        <f>'FREEVAL INPUT 2020 Hourly'!G$47*'Rate Calculations &amp; PHF'!$BC6</f>
        <v>235.03021978668755</v>
      </c>
      <c r="G45" s="21">
        <f>'FREEVAL INPUT 2020 Hourly'!H$47*'Rate Calculations &amp; PHF'!$BC6</f>
        <v>1861.2155024060069</v>
      </c>
      <c r="H45" s="21">
        <f>'FREEVAL INPUT 2020 Hourly'!I$47*'Rate Calculations &amp; PHF'!$BC6</f>
        <v>284.27464678961258</v>
      </c>
      <c r="I45" s="21">
        <f>'FREEVAL INPUT 2020 Hourly'!J$47*'Rate Calculations &amp; PHF'!$BC6</f>
        <v>1576.9408556163942</v>
      </c>
      <c r="J45" s="21">
        <f>'FREEVAL INPUT 2020 Hourly'!K$47*'Rate Calculations &amp; PHF'!$BC6</f>
        <v>1215.4419937540131</v>
      </c>
      <c r="K45" s="21">
        <f>'FREEVAL INPUT 2020 Hourly'!L$47*'Rate Calculations &amp; PHF'!$BC6</f>
        <v>2792.3828493704068</v>
      </c>
      <c r="L45" s="21">
        <f>'FREEVAL INPUT 2020 Hourly'!M$47*'Rate Calculations &amp; PHF'!$BC6</f>
        <v>171.23630298744382</v>
      </c>
      <c r="M45" s="21">
        <f>'FREEVAL INPUT 2020 Hourly'!N$47*'Rate Calculations &amp; PHF'!$BC6</f>
        <v>2621.1465463829636</v>
      </c>
      <c r="N45" s="21">
        <f>'FREEVAL INPUT 2020 Hourly'!O$47*'Rate Calculations &amp; PHF'!$BC6</f>
        <v>972.57743330776907</v>
      </c>
      <c r="O45" s="21">
        <f>'FREEVAL INPUT 2020 Hourly'!P$47*'Rate Calculations &amp; PHF'!$BC6</f>
        <v>3593.723979690732</v>
      </c>
      <c r="P45" s="21">
        <f>'FREEVAL INPUT 2020 Hourly'!Q$47*'Rate Calculations &amp; PHF'!$BC6</f>
        <v>85.058555732325033</v>
      </c>
      <c r="Q45" s="21">
        <f>'FREEVAL INPUT 2020 Hourly'!R$47*'Rate Calculations &amp; PHF'!$BC6</f>
        <v>3508.6654239584072</v>
      </c>
    </row>
    <row r="46" spans="1:17" x14ac:dyDescent="0.25">
      <c r="A46" s="38"/>
      <c r="B46" s="20">
        <v>0.34375</v>
      </c>
      <c r="C46" s="21">
        <f>'FREEVAL INPUT 2020 Hourly'!D$47*'Rate Calculations &amp; PHF'!$BC7</f>
        <v>1674.5236974371255</v>
      </c>
      <c r="D46" s="21">
        <f>'FREEVAL INPUT 2020 Hourly'!E$47*'Rate Calculations &amp; PHF'!$BC7</f>
        <v>125.77580922825004</v>
      </c>
      <c r="E46" s="21">
        <f>'FREEVAL INPUT 2020 Hourly'!F$47*'Rate Calculations &amp; PHF'!$BC7</f>
        <v>1548.7478882088753</v>
      </c>
      <c r="F46" s="21">
        <f>'FREEVAL INPUT 2020 Hourly'!G$47*'Rate Calculations &amp; PHF'!$BC7</f>
        <v>223.83830455875005</v>
      </c>
      <c r="G46" s="21">
        <f>'FREEVAL INPUT 2020 Hourly'!H$47*'Rate Calculations &amp; PHF'!$BC7</f>
        <v>1772.5861927676256</v>
      </c>
      <c r="H46" s="21">
        <f>'FREEVAL INPUT 2020 Hourly'!I$47*'Rate Calculations &amp; PHF'!$BC7</f>
        <v>270.73775884725006</v>
      </c>
      <c r="I46" s="21">
        <f>'FREEVAL INPUT 2020 Hourly'!J$47*'Rate Calculations &amp; PHF'!$BC7</f>
        <v>1501.8484339203753</v>
      </c>
      <c r="J46" s="21">
        <f>'FREEVAL INPUT 2020 Hourly'!K$47*'Rate Calculations &amp; PHF'!$BC7</f>
        <v>1157.5638035752504</v>
      </c>
      <c r="K46" s="21">
        <f>'FREEVAL INPUT 2020 Hourly'!L$47*'Rate Calculations &amp; PHF'!$BC7</f>
        <v>2659.4122374956255</v>
      </c>
      <c r="L46" s="21">
        <f>'FREEVAL INPUT 2020 Hourly'!M$47*'Rate Calculations &amp; PHF'!$BC7</f>
        <v>163.08219332137506</v>
      </c>
      <c r="M46" s="21">
        <f>'FREEVAL INPUT 2020 Hourly'!N$47*'Rate Calculations &amp; PHF'!$BC7</f>
        <v>2496.3300441742508</v>
      </c>
      <c r="N46" s="21">
        <f>'FREEVAL INPUT 2020 Hourly'!O$47*'Rate Calculations &amp; PHF'!$BC7</f>
        <v>926.26422219787526</v>
      </c>
      <c r="O46" s="21">
        <f>'FREEVAL INPUT 2020 Hourly'!P$47*'Rate Calculations &amp; PHF'!$BC7</f>
        <v>3422.5942663721257</v>
      </c>
      <c r="P46" s="21">
        <f>'FREEVAL INPUT 2020 Hourly'!Q$47*'Rate Calculations &amp; PHF'!$BC7</f>
        <v>81.008148316500026</v>
      </c>
      <c r="Q46" s="21">
        <f>'FREEVAL INPUT 2020 Hourly'!R$47*'Rate Calculations &amp; PHF'!$BC7</f>
        <v>3341.5861180556258</v>
      </c>
    </row>
    <row r="47" spans="1:17" x14ac:dyDescent="0.25">
      <c r="A47" s="38"/>
      <c r="B47" s="20">
        <v>0.35416666666666702</v>
      </c>
      <c r="C47" s="21">
        <f>'FREEVAL INPUT 2020 Hourly'!D$47*'Rate Calculations &amp; PHF'!$BC8</f>
        <v>1632.6606050011974</v>
      </c>
      <c r="D47" s="21">
        <f>'FREEVAL INPUT 2020 Hourly'!E$47*'Rate Calculations &amp; PHF'!$BC8</f>
        <v>122.63141399754379</v>
      </c>
      <c r="E47" s="21">
        <f>'FREEVAL INPUT 2020 Hourly'!F$47*'Rate Calculations &amp; PHF'!$BC8</f>
        <v>1510.0291910036535</v>
      </c>
      <c r="F47" s="21">
        <f>'FREEVAL INPUT 2020 Hourly'!G$47*'Rate Calculations &amp; PHF'!$BC8</f>
        <v>218.2423469447813</v>
      </c>
      <c r="G47" s="21">
        <f>'FREEVAL INPUT 2020 Hourly'!H$47*'Rate Calculations &amp; PHF'!$BC8</f>
        <v>1728.2715379484348</v>
      </c>
      <c r="H47" s="21">
        <f>'FREEVAL INPUT 2020 Hourly'!I$47*'Rate Calculations &amp; PHF'!$BC8</f>
        <v>263.96931487606878</v>
      </c>
      <c r="I47" s="21">
        <f>'FREEVAL INPUT 2020 Hourly'!J$47*'Rate Calculations &amp; PHF'!$BC8</f>
        <v>1464.3022230723659</v>
      </c>
      <c r="J47" s="21">
        <f>'FREEVAL INPUT 2020 Hourly'!K$47*'Rate Calculations &amp; PHF'!$BC8</f>
        <v>1128.6247084858692</v>
      </c>
      <c r="K47" s="21">
        <f>'FREEVAL INPUT 2020 Hourly'!L$47*'Rate Calculations &amp; PHF'!$BC8</f>
        <v>2592.9269315582346</v>
      </c>
      <c r="L47" s="21">
        <f>'FREEVAL INPUT 2020 Hourly'!M$47*'Rate Calculations &amp; PHF'!$BC8</f>
        <v>159.00513848834069</v>
      </c>
      <c r="M47" s="21">
        <f>'FREEVAL INPUT 2020 Hourly'!N$47*'Rate Calculations &amp; PHF'!$BC8</f>
        <v>2433.9217930698946</v>
      </c>
      <c r="N47" s="21">
        <f>'FREEVAL INPUT 2020 Hourly'!O$47*'Rate Calculations &amp; PHF'!$BC8</f>
        <v>903.10761664292841</v>
      </c>
      <c r="O47" s="21">
        <f>'FREEVAL INPUT 2020 Hourly'!P$47*'Rate Calculations &amp; PHF'!$BC8</f>
        <v>3337.0294097128226</v>
      </c>
      <c r="P47" s="21">
        <f>'FREEVAL INPUT 2020 Hourly'!Q$47*'Rate Calculations &amp; PHF'!$BC8</f>
        <v>78.98294460858753</v>
      </c>
      <c r="Q47" s="21">
        <f>'FREEVAL INPUT 2020 Hourly'!R$47*'Rate Calculations &amp; PHF'!$BC8</f>
        <v>3258.0464651042353</v>
      </c>
    </row>
    <row r="48" spans="1:17" s="81" customFormat="1" x14ac:dyDescent="0.25">
      <c r="A48" s="107"/>
      <c r="B48" s="108">
        <v>0.36458333333333298</v>
      </c>
      <c r="C48" s="109">
        <f>'FREEVAL INPUT 2020 Hourly'!D$47*'Rate Calculations &amp; PHF'!$BC9</f>
        <v>1632.6606050011974</v>
      </c>
      <c r="D48" s="109">
        <f>'FREEVAL INPUT 2020 Hourly'!E$47*'Rate Calculations &amp; PHF'!$BC9</f>
        <v>122.63141399754379</v>
      </c>
      <c r="E48" s="109">
        <f>'FREEVAL INPUT 2020 Hourly'!F$47*'Rate Calculations &amp; PHF'!$BC9</f>
        <v>1510.0291910036535</v>
      </c>
      <c r="F48" s="109">
        <f>'FREEVAL INPUT 2020 Hourly'!G$47*'Rate Calculations &amp; PHF'!$BC9</f>
        <v>218.2423469447813</v>
      </c>
      <c r="G48" s="109">
        <f>'FREEVAL INPUT 2020 Hourly'!H$47*'Rate Calculations &amp; PHF'!$BC9</f>
        <v>1728.2715379484348</v>
      </c>
      <c r="H48" s="109">
        <f>'FREEVAL INPUT 2020 Hourly'!I$47*'Rate Calculations &amp; PHF'!$BC9</f>
        <v>263.96931487606878</v>
      </c>
      <c r="I48" s="109">
        <f>'FREEVAL INPUT 2020 Hourly'!J$47*'Rate Calculations &amp; PHF'!$BC9</f>
        <v>1464.3022230723659</v>
      </c>
      <c r="J48" s="109">
        <f>'FREEVAL INPUT 2020 Hourly'!K$47*'Rate Calculations &amp; PHF'!$BC9</f>
        <v>1128.6247084858692</v>
      </c>
      <c r="K48" s="109">
        <f>'FREEVAL INPUT 2020 Hourly'!L$47*'Rate Calculations &amp; PHF'!$BC9</f>
        <v>2592.9269315582346</v>
      </c>
      <c r="L48" s="109">
        <f>'FREEVAL INPUT 2020 Hourly'!M$47*'Rate Calculations &amp; PHF'!$BC9</f>
        <v>159.00513848834069</v>
      </c>
      <c r="M48" s="109">
        <f>'FREEVAL INPUT 2020 Hourly'!N$47*'Rate Calculations &amp; PHF'!$BC9</f>
        <v>2433.9217930698946</v>
      </c>
      <c r="N48" s="109">
        <f>'FREEVAL INPUT 2020 Hourly'!O$47*'Rate Calculations &amp; PHF'!$BC9</f>
        <v>903.10761664292841</v>
      </c>
      <c r="O48" s="109">
        <f>'FREEVAL INPUT 2020 Hourly'!P$47*'Rate Calculations &amp; PHF'!$BC9</f>
        <v>3337.0294097128226</v>
      </c>
      <c r="P48" s="109">
        <f>'FREEVAL INPUT 2020 Hourly'!Q$47*'Rate Calculations &amp; PHF'!$BC9</f>
        <v>78.98294460858753</v>
      </c>
      <c r="Q48" s="109">
        <f>'FREEVAL INPUT 2020 Hourly'!R$47*'Rate Calculations &amp; PHF'!$BC9</f>
        <v>3258.0464651042353</v>
      </c>
    </row>
    <row r="49" spans="1:17" x14ac:dyDescent="0.25">
      <c r="A49" s="38"/>
      <c r="B49" s="20">
        <v>0.625</v>
      </c>
      <c r="C49" s="21">
        <f>'FREEVAL INPUT 2020 Hourly'!D$54*'Rate Calculations &amp; PHF'!$BB6</f>
        <v>1469.4984694281941</v>
      </c>
      <c r="D49" s="21">
        <f>'FREEVAL INPUT 2020 Hourly'!E$54*'Rate Calculations &amp; PHF'!$BB6</f>
        <v>166.27988338650005</v>
      </c>
      <c r="E49" s="21">
        <f>'FREEVAL INPUT 2020 Hourly'!F$54*'Rate Calculations &amp; PHF'!$BB6</f>
        <v>1303.2185860416942</v>
      </c>
      <c r="F49" s="21">
        <f>'FREEVAL INPUT 2020 Hourly'!G$54*'Rate Calculations &amp; PHF'!$BB6</f>
        <v>82.100692422084407</v>
      </c>
      <c r="G49" s="21">
        <f>'FREEVAL INPUT 2020 Hourly'!H$54*'Rate Calculations &amp; PHF'!$BB6</f>
        <v>1385.3192784637783</v>
      </c>
      <c r="H49" s="21">
        <f>'FREEVAL INPUT 2020 Hourly'!I$54*'Rate Calculations &amp; PHF'!$BB6</f>
        <v>247.34132653741881</v>
      </c>
      <c r="I49" s="21">
        <f>'FREEVAL INPUT 2020 Hourly'!J$54*'Rate Calculations &amp; PHF'!$BB6</f>
        <v>1137.9779519263595</v>
      </c>
      <c r="J49" s="21">
        <f>'FREEVAL INPUT 2020 Hourly'!K$54*'Rate Calculations &amp; PHF'!$BB6</f>
        <v>808.53593296685642</v>
      </c>
      <c r="K49" s="21">
        <f>'FREEVAL INPUT 2020 Hourly'!L$54*'Rate Calculations &amp; PHF'!$BB6</f>
        <v>1946.5138848932161</v>
      </c>
      <c r="L49" s="21">
        <f>'FREEVAL INPUT 2020 Hourly'!M$54*'Rate Calculations &amp; PHF'!$BB6</f>
        <v>153.80889213251254</v>
      </c>
      <c r="M49" s="21">
        <f>'FREEVAL INPUT 2020 Hourly'!N$54*'Rate Calculations &amp; PHF'!$BB6</f>
        <v>1792.7049927607036</v>
      </c>
      <c r="N49" s="21">
        <f>'FREEVAL INPUT 2020 Hourly'!O$54*'Rate Calculations &amp; PHF'!$BB6</f>
        <v>826.20317057667205</v>
      </c>
      <c r="O49" s="21">
        <f>'FREEVAL INPUT 2020 Hourly'!P$54*'Rate Calculations &amp; PHF'!$BB6</f>
        <v>2618.9081633373758</v>
      </c>
      <c r="P49" s="21">
        <f>'FREEVAL INPUT 2020 Hourly'!Q$54*'Rate Calculations &amp; PHF'!$BB6</f>
        <v>108.08192420122504</v>
      </c>
      <c r="Q49" s="21">
        <f>'FREEVAL INPUT 2020 Hourly'!R$54*'Rate Calculations &amp; PHF'!$BB6</f>
        <v>2510.8262391361509</v>
      </c>
    </row>
    <row r="50" spans="1:17" x14ac:dyDescent="0.25">
      <c r="A50" s="38"/>
      <c r="B50" s="20">
        <v>0.63541666666666696</v>
      </c>
      <c r="C50" s="21">
        <f>'FREEVAL INPUT 2020 Hourly'!D$54*'Rate Calculations &amp; PHF'!$BB7</f>
        <v>1469.4984694281941</v>
      </c>
      <c r="D50" s="21">
        <f>'FREEVAL INPUT 2020 Hourly'!E$54*'Rate Calculations &amp; PHF'!$BB7</f>
        <v>166.27988338650005</v>
      </c>
      <c r="E50" s="21">
        <f>'FREEVAL INPUT 2020 Hourly'!F$54*'Rate Calculations &amp; PHF'!$BB7</f>
        <v>1303.2185860416942</v>
      </c>
      <c r="F50" s="21">
        <f>'FREEVAL INPUT 2020 Hourly'!G$54*'Rate Calculations &amp; PHF'!$BB7</f>
        <v>82.100692422084407</v>
      </c>
      <c r="G50" s="21">
        <f>'FREEVAL INPUT 2020 Hourly'!H$54*'Rate Calculations &amp; PHF'!$BB7</f>
        <v>1385.3192784637783</v>
      </c>
      <c r="H50" s="21">
        <f>'FREEVAL INPUT 2020 Hourly'!I$54*'Rate Calculations &amp; PHF'!$BB7</f>
        <v>247.34132653741881</v>
      </c>
      <c r="I50" s="21">
        <f>'FREEVAL INPUT 2020 Hourly'!J$54*'Rate Calculations &amp; PHF'!$BB7</f>
        <v>1137.9779519263595</v>
      </c>
      <c r="J50" s="21">
        <f>'FREEVAL INPUT 2020 Hourly'!K$54*'Rate Calculations &amp; PHF'!$BB7</f>
        <v>808.53593296685642</v>
      </c>
      <c r="K50" s="21">
        <f>'FREEVAL INPUT 2020 Hourly'!L$54*'Rate Calculations &amp; PHF'!$BB7</f>
        <v>1946.5138848932161</v>
      </c>
      <c r="L50" s="21">
        <f>'FREEVAL INPUT 2020 Hourly'!M$54*'Rate Calculations &amp; PHF'!$BB7</f>
        <v>153.80889213251254</v>
      </c>
      <c r="M50" s="21">
        <f>'FREEVAL INPUT 2020 Hourly'!N$54*'Rate Calculations &amp; PHF'!$BB7</f>
        <v>1792.7049927607036</v>
      </c>
      <c r="N50" s="21">
        <f>'FREEVAL INPUT 2020 Hourly'!O$54*'Rate Calculations &amp; PHF'!$BB7</f>
        <v>826.20317057667205</v>
      </c>
      <c r="O50" s="21">
        <f>'FREEVAL INPUT 2020 Hourly'!P$54*'Rate Calculations &amp; PHF'!$BB7</f>
        <v>2618.9081633373758</v>
      </c>
      <c r="P50" s="21">
        <f>'FREEVAL INPUT 2020 Hourly'!Q$54*'Rate Calculations &amp; PHF'!$BB7</f>
        <v>108.08192420122504</v>
      </c>
      <c r="Q50" s="21">
        <f>'FREEVAL INPUT 2020 Hourly'!R$54*'Rate Calculations &amp; PHF'!$BB7</f>
        <v>2510.8262391361509</v>
      </c>
    </row>
    <row r="51" spans="1:17" x14ac:dyDescent="0.25">
      <c r="A51" s="38"/>
      <c r="B51" s="20">
        <v>0.64583333333333304</v>
      </c>
      <c r="C51" s="21">
        <f>'FREEVAL INPUT 2020 Hourly'!D$54*'Rate Calculations &amp; PHF'!$BB8</f>
        <v>1507.1779173622504</v>
      </c>
      <c r="D51" s="21">
        <f>'FREEVAL INPUT 2020 Hourly'!E$54*'Rate Calculations &amp; PHF'!$BB8</f>
        <v>170.54347014000004</v>
      </c>
      <c r="E51" s="21">
        <f>'FREEVAL INPUT 2020 Hourly'!F$54*'Rate Calculations &amp; PHF'!$BB8</f>
        <v>1336.6344472222504</v>
      </c>
      <c r="F51" s="21">
        <f>'FREEVAL INPUT 2020 Hourly'!G$54*'Rate Calculations &amp; PHF'!$BB8</f>
        <v>84.205838381625028</v>
      </c>
      <c r="G51" s="21">
        <f>'FREEVAL INPUT 2020 Hourly'!H$54*'Rate Calculations &amp; PHF'!$BB8</f>
        <v>1420.8402856038754</v>
      </c>
      <c r="H51" s="21">
        <f>'FREEVAL INPUT 2020 Hourly'!I$54*'Rate Calculations &amp; PHF'!$BB8</f>
        <v>253.68341183325006</v>
      </c>
      <c r="I51" s="21">
        <f>'FREEVAL INPUT 2020 Hourly'!J$54*'Rate Calculations &amp; PHF'!$BB8</f>
        <v>1167.1568737706252</v>
      </c>
      <c r="J51" s="21">
        <f>'FREEVAL INPUT 2020 Hourly'!K$54*'Rate Calculations &amp; PHF'!$BB8</f>
        <v>829.26762355575022</v>
      </c>
      <c r="K51" s="21">
        <f>'FREEVAL INPUT 2020 Hourly'!L$54*'Rate Calculations &amp; PHF'!$BB8</f>
        <v>1996.4244973263756</v>
      </c>
      <c r="L51" s="21">
        <f>'FREEVAL INPUT 2020 Hourly'!M$54*'Rate Calculations &amp; PHF'!$BB8</f>
        <v>157.75270987950003</v>
      </c>
      <c r="M51" s="21">
        <f>'FREEVAL INPUT 2020 Hourly'!N$54*'Rate Calculations &amp; PHF'!$BB8</f>
        <v>1838.6717874468754</v>
      </c>
      <c r="N51" s="21">
        <f>'FREEVAL INPUT 2020 Hourly'!O$54*'Rate Calculations &amp; PHF'!$BB8</f>
        <v>847.3878672581252</v>
      </c>
      <c r="O51" s="21">
        <f>'FREEVAL INPUT 2020 Hourly'!P$54*'Rate Calculations &amp; PHF'!$BB8</f>
        <v>2686.0596547050009</v>
      </c>
      <c r="P51" s="21">
        <f>'FREEVAL INPUT 2020 Hourly'!Q$54*'Rate Calculations &amp; PHF'!$BB8</f>
        <v>110.85325559100004</v>
      </c>
      <c r="Q51" s="21">
        <f>'FREEVAL INPUT 2020 Hourly'!R$54*'Rate Calculations &amp; PHF'!$BB8</f>
        <v>2575.2063991140008</v>
      </c>
    </row>
    <row r="52" spans="1:17" x14ac:dyDescent="0.25">
      <c r="A52" s="38"/>
      <c r="B52" s="20">
        <v>0.65625</v>
      </c>
      <c r="C52" s="21">
        <f>'FREEVAL INPUT 2020 Hourly'!D$54*'Rate Calculations &amp; PHF'!$BB9</f>
        <v>1582.5368132303629</v>
      </c>
      <c r="D52" s="21">
        <f>'FREEVAL INPUT 2020 Hourly'!E$54*'Rate Calculations &amp; PHF'!$BB9</f>
        <v>179.07064364700005</v>
      </c>
      <c r="E52" s="21">
        <f>'FREEVAL INPUT 2020 Hourly'!F$54*'Rate Calculations &amp; PHF'!$BB9</f>
        <v>1403.4661695833629</v>
      </c>
      <c r="F52" s="21">
        <f>'FREEVAL INPUT 2020 Hourly'!G$54*'Rate Calculations &amp; PHF'!$BB9</f>
        <v>88.416130300706286</v>
      </c>
      <c r="G52" s="21">
        <f>'FREEVAL INPUT 2020 Hourly'!H$54*'Rate Calculations &amp; PHF'!$BB9</f>
        <v>1491.8822998840692</v>
      </c>
      <c r="H52" s="21">
        <f>'FREEVAL INPUT 2020 Hourly'!I$54*'Rate Calculations &amp; PHF'!$BB9</f>
        <v>266.3675824249126</v>
      </c>
      <c r="I52" s="21">
        <f>'FREEVAL INPUT 2020 Hourly'!J$54*'Rate Calculations &amp; PHF'!$BB9</f>
        <v>1225.5147174591566</v>
      </c>
      <c r="J52" s="21">
        <f>'FREEVAL INPUT 2020 Hourly'!K$54*'Rate Calculations &amp; PHF'!$BB9</f>
        <v>870.73100473353782</v>
      </c>
      <c r="K52" s="21">
        <f>'FREEVAL INPUT 2020 Hourly'!L$54*'Rate Calculations &amp; PHF'!$BB9</f>
        <v>2096.2457221926943</v>
      </c>
      <c r="L52" s="21">
        <f>'FREEVAL INPUT 2020 Hourly'!M$54*'Rate Calculations &amp; PHF'!$BB9</f>
        <v>165.64034537347504</v>
      </c>
      <c r="M52" s="21">
        <f>'FREEVAL INPUT 2020 Hourly'!N$54*'Rate Calculations &amp; PHF'!$BB9</f>
        <v>1930.6053768192194</v>
      </c>
      <c r="N52" s="21">
        <f>'FREEVAL INPUT 2020 Hourly'!O$54*'Rate Calculations &amp; PHF'!$BB9</f>
        <v>889.75726062103149</v>
      </c>
      <c r="O52" s="21">
        <f>'FREEVAL INPUT 2020 Hourly'!P$54*'Rate Calculations &amp; PHF'!$BB9</f>
        <v>2820.3626374402511</v>
      </c>
      <c r="P52" s="21">
        <f>'FREEVAL INPUT 2020 Hourly'!Q$54*'Rate Calculations &amp; PHF'!$BB9</f>
        <v>116.39591837055004</v>
      </c>
      <c r="Q52" s="21">
        <f>'FREEVAL INPUT 2020 Hourly'!R$54*'Rate Calculations &amp; PHF'!$BB9</f>
        <v>2703.966719069701</v>
      </c>
    </row>
    <row r="53" spans="1:17" s="78" customFormat="1" x14ac:dyDescent="0.25">
      <c r="A53" s="85"/>
      <c r="B53" s="86">
        <v>0.66666666666666696</v>
      </c>
      <c r="C53" s="87">
        <f>E53+D53</f>
        <v>1455.5092295957286</v>
      </c>
      <c r="D53" s="87">
        <f>'FREEVAL INPUT 2020 Hourly'!E$55*(1-(1/(VLOOKUP('FREEVAL INPUT 2020 Hourly'!E$55,'Rate Calculations &amp; PHF'!$AX$6:$AZ$11,3,TRUE))-0.9)/3)</f>
        <v>201.60144927536231</v>
      </c>
      <c r="E53" s="87">
        <f>G53-F53</f>
        <v>1253.9077803203663</v>
      </c>
      <c r="F53" s="87">
        <f>'FREEVAL INPUT 2020 Hourly'!G$55*(1-(1/(VLOOKUP('FREEVAL INPUT 2020 Hourly'!G$55,'Rate Calculations &amp; PHF'!$AX$6:$AZ$11,3,TRUE))-0.9)/3)</f>
        <v>320.68695652173915</v>
      </c>
      <c r="G53" s="87">
        <f>'FREEVAL INPUT 2020 Hourly'!H$55*(1-(1/(VLOOKUP('FREEVAL INPUT 2020 Hourly'!H$55,'Rate Calculations &amp; PHF'!$AX$6:$AZ$11,3,TRUE))-0.9)/3)</f>
        <v>1574.5947368421055</v>
      </c>
      <c r="H53" s="87">
        <f>'FREEVAL INPUT 2020 Hourly'!I$55*(1-(1/(VLOOKUP('FREEVAL INPUT 2020 Hourly'!I$55,'Rate Calculations &amp; PHF'!$AX$6:$AZ$11,3,TRUE))-0.9)/3)</f>
        <v>260.6753623188406</v>
      </c>
      <c r="I53" s="87">
        <f>G53-H53</f>
        <v>1313.9193745232649</v>
      </c>
      <c r="J53" s="87">
        <f>'FREEVAL INPUT 2020 Hourly'!K$55*(1-(1/(VLOOKUP('FREEVAL INPUT 2020 Hourly'!K$55,'Rate Calculations &amp; PHF'!$AX$6:$AZ$11,3,TRUE))-0.9)/3)</f>
        <v>814.94258333090829</v>
      </c>
      <c r="K53" s="87">
        <f>I53+J53</f>
        <v>2128.8619578541729</v>
      </c>
      <c r="L53" s="87">
        <f>'FREEVAL INPUT 2020 Hourly'!M$55*(1-(1/(VLOOKUP('FREEVAL INPUT 2020 Hourly'!M$55,'Rate Calculations &amp; PHF'!$AX$6:$AZ$11,3,TRUE))-0.9)/3)</f>
        <v>229.731884057971</v>
      </c>
      <c r="M53" s="87">
        <f>K53-L53</f>
        <v>1899.1300737962019</v>
      </c>
      <c r="N53" s="87">
        <f>'FREEVAL INPUT 2020 Hourly'!O$55*(1-(1/(VLOOKUP('FREEVAL INPUT 2020 Hourly'!O$55,'Rate Calculations &amp; PHF'!$AX$6:$AZ$11,3,TRUE))-0.9)/3)</f>
        <v>772.79038074482673</v>
      </c>
      <c r="O53" s="87">
        <f>M53+N53</f>
        <v>2671.9204545410284</v>
      </c>
      <c r="P53" s="87">
        <f>'FREEVAL INPUT 2020 Hourly'!Q$55*(1-(1/(VLOOKUP('FREEVAL INPUT 2020 Hourly'!Q$55,'Rate Calculations &amp; PHF'!$AX$6:$AZ$11,3,TRUE))-0.9)/3)</f>
        <v>97.186973180076635</v>
      </c>
      <c r="Q53" s="104">
        <f>O53-P53</f>
        <v>2574.7334813609518</v>
      </c>
    </row>
    <row r="54" spans="1:17" s="78" customFormat="1" x14ac:dyDescent="0.25">
      <c r="A54" s="85"/>
      <c r="B54" s="86">
        <v>0.67708333333333304</v>
      </c>
      <c r="C54" s="87">
        <f>E54+D54</f>
        <v>1532.1092295957285</v>
      </c>
      <c r="D54" s="87">
        <f>'FREEVAL INPUT 2020 Hourly'!E$55*(1-(1/(VLOOKUP('FREEVAL INPUT 2020 Hourly'!E$55,'Rate Calculations &amp; PHF'!$AX$6:$AZ$11,3,TRUE))-1.05)/3)</f>
        <v>212.35144927536231</v>
      </c>
      <c r="E54" s="87">
        <f>G54-F54</f>
        <v>1319.7577803203662</v>
      </c>
      <c r="F54" s="87">
        <f>'FREEVAL INPUT 2020 Hourly'!G$55*(1-(1/(VLOOKUP('FREEVAL INPUT 2020 Hourly'!G$55,'Rate Calculations &amp; PHF'!$AX$6:$AZ$11,3,TRUE))-1.05)/3)</f>
        <v>337.78695652173911</v>
      </c>
      <c r="G54" s="87">
        <f>'FREEVAL INPUT 2020 Hourly'!H$55*(1-(1/(VLOOKUP('FREEVAL INPUT 2020 Hourly'!H$55,'Rate Calculations &amp; PHF'!$AX$6:$AZ$11,3,TRUE))-1.05)/3)</f>
        <v>1657.5447368421053</v>
      </c>
      <c r="H54" s="87">
        <f>'FREEVAL INPUT 2020 Hourly'!I$55*(1-(1/(VLOOKUP('FREEVAL INPUT 2020 Hourly'!I$55,'Rate Calculations &amp; PHF'!$AX$6:$AZ$11,3,TRUE))-1.05)/3)</f>
        <v>274.57536231884058</v>
      </c>
      <c r="I54" s="87">
        <f>G54-H54</f>
        <v>1382.9693745232648</v>
      </c>
      <c r="J54" s="87">
        <f>'FREEVAL INPUT 2020 Hourly'!K$55*(1-(1/(VLOOKUP('FREEVAL INPUT 2020 Hourly'!K$55,'Rate Calculations &amp; PHF'!$AX$6:$AZ$11,3,TRUE))-1.05)/3)</f>
        <v>858.2179888789334</v>
      </c>
      <c r="K54" s="87">
        <f>I54+J54</f>
        <v>2241.1873634021981</v>
      </c>
      <c r="L54" s="87">
        <f>'FREEVAL INPUT 2020 Hourly'!M$55*(1-(1/(VLOOKUP('FREEVAL INPUT 2020 Hourly'!M$55,'Rate Calculations &amp; PHF'!$AX$6:$AZ$11,3,TRUE))-1.05)/3)</f>
        <v>241.98188405797103</v>
      </c>
      <c r="M54" s="87">
        <f>K54-L54</f>
        <v>1999.2054793442271</v>
      </c>
      <c r="N54" s="87">
        <f>'FREEVAL INPUT 2020 Hourly'!O$55*(1-(1/(VLOOKUP('FREEVAL INPUT 2020 Hourly'!O$55,'Rate Calculations &amp; PHF'!$AX$6:$AZ$11,3,TRUE))-1.05)/3)</f>
        <v>813.82740324726433</v>
      </c>
      <c r="O54" s="87">
        <f>M54+N54</f>
        <v>2813.0328825914912</v>
      </c>
      <c r="P54" s="87">
        <f>'FREEVAL INPUT 2020 Hourly'!Q$55*(1-(1/(VLOOKUP('FREEVAL INPUT 2020 Hourly'!Q$55,'Rate Calculations &amp; PHF'!$AX$6:$AZ$11,3,TRUE))-1.05)/3)</f>
        <v>102.48697318007663</v>
      </c>
      <c r="Q54" s="104">
        <f t="shared" ref="Q54:Q56" si="5">O54-P54</f>
        <v>2710.5459094114144</v>
      </c>
    </row>
    <row r="55" spans="1:17" s="78" customFormat="1" x14ac:dyDescent="0.25">
      <c r="A55" s="85"/>
      <c r="B55" s="86">
        <v>0.6875</v>
      </c>
      <c r="C55" s="87">
        <f>E55+D55</f>
        <v>1608.2723112128147</v>
      </c>
      <c r="D55" s="87">
        <f>('FREEVAL INPUT 2020 Hourly'!E55*(1/((VLOOKUP('FREEVAL INPUT 2020 Hourly'!E55,'Rate Calculations &amp; PHF'!$AX$6:$AZ$11,3,TRUE)))))</f>
        <v>233.69565217391303</v>
      </c>
      <c r="E55" s="87">
        <f>G55-F55</f>
        <v>1374.5766590389017</v>
      </c>
      <c r="F55" s="87">
        <f>('FREEVAL INPUT 2020 Hourly'!G55*(1/((VLOOKUP('FREEVAL INPUT 2020 Hourly'!G55,'Rate Calculations &amp; PHF'!$AX$6:$AZ$11,3,TRUE)))))</f>
        <v>371.73913043478257</v>
      </c>
      <c r="G55" s="87">
        <f>('FREEVAL INPUT 2020 Hourly'!H55*(1/((VLOOKUP('FREEVAL INPUT 2020 Hourly'!H55,'Rate Calculations &amp; PHF'!$AX$6:$AZ$11,3,TRUE)))))</f>
        <v>1746.3157894736842</v>
      </c>
      <c r="H55" s="87">
        <f>('FREEVAL INPUT 2020 Hourly'!I55*(1/((VLOOKUP('FREEVAL INPUT 2020 Hourly'!I55,'Rate Calculations &amp; PHF'!$AX$6:$AZ$11,3,TRUE)))))</f>
        <v>302.17391304347825</v>
      </c>
      <c r="I55" s="87">
        <f>G55-H55</f>
        <v>1444.1418764302059</v>
      </c>
      <c r="J55" s="87">
        <f>('FREEVAL INPUT 2020 Hourly'!K55*(1/((VLOOKUP('FREEVAL INPUT 2020 Hourly'!K55,'Rate Calculations &amp; PHF'!$AX$6:$AZ$11,3,TRUE)))))</f>
        <v>930.65388275322607</v>
      </c>
      <c r="K55" s="87">
        <f>I55+J55</f>
        <v>2374.795759183432</v>
      </c>
      <c r="L55" s="87">
        <f>('FREEVAL INPUT 2020 Hourly'!M55*(1/((VLOOKUP('FREEVAL INPUT 2020 Hourly'!M55,'Rate Calculations &amp; PHF'!$AX$6:$AZ$11,3,TRUE)))))</f>
        <v>266.30434782608694</v>
      </c>
      <c r="M55" s="87">
        <f>K55-L55</f>
        <v>2108.491411357345</v>
      </c>
      <c r="N55" s="87">
        <f>('FREEVAL INPUT 2020 Hourly'!O55*(1/((VLOOKUP('FREEVAL INPUT 2020 Hourly'!O55,'Rate Calculations &amp; PHF'!$AX$6:$AZ$11,3,TRUE)))))</f>
        <v>882.51661295564531</v>
      </c>
      <c r="O55" s="87">
        <f>M55+N55</f>
        <v>2991.0080243129905</v>
      </c>
      <c r="P55" s="87">
        <f>('FREEVAL INPUT 2020 Hourly'!Q55*(1/((VLOOKUP('FREEVAL INPUT 2020 Hourly'!Q55,'Rate Calculations &amp; PHF'!$AX$6:$AZ$11,3,TRUE)))))</f>
        <v>121.8390804597701</v>
      </c>
      <c r="Q55" s="104">
        <f t="shared" si="5"/>
        <v>2869.1689438532203</v>
      </c>
    </row>
    <row r="56" spans="1:17" s="78" customFormat="1" x14ac:dyDescent="0.25">
      <c r="A56" s="85"/>
      <c r="B56" s="86">
        <v>0.69791666666666696</v>
      </c>
      <c r="C56" s="87">
        <f>E56+D56</f>
        <v>1532.1092295957285</v>
      </c>
      <c r="D56" s="87">
        <f>'FREEVAL INPUT 2020 Hourly'!E$55*(1-(1/(VLOOKUP('FREEVAL INPUT 2020 Hourly'!E$55,'Rate Calculations &amp; PHF'!$AX$6:$AZ$11,3,TRUE))-1.05)/3)</f>
        <v>212.35144927536231</v>
      </c>
      <c r="E56" s="87">
        <f>G56-F56</f>
        <v>1319.7577803203662</v>
      </c>
      <c r="F56" s="87">
        <f>'FREEVAL INPUT 2020 Hourly'!G$55*(1-(1/(VLOOKUP('FREEVAL INPUT 2020 Hourly'!G$55,'Rate Calculations &amp; PHF'!$AX$6:$AZ$11,3,TRUE))-1.05)/3)</f>
        <v>337.78695652173911</v>
      </c>
      <c r="G56" s="87">
        <f>'FREEVAL INPUT 2020 Hourly'!H$55*(1-(1/(VLOOKUP('FREEVAL INPUT 2020 Hourly'!H$55,'Rate Calculations &amp; PHF'!$AX$6:$AZ$11,3,TRUE))-1.05)/3)</f>
        <v>1657.5447368421053</v>
      </c>
      <c r="H56" s="87">
        <f>'FREEVAL INPUT 2020 Hourly'!I$55*(1-(1/(VLOOKUP('FREEVAL INPUT 2020 Hourly'!I$55,'Rate Calculations &amp; PHF'!$AX$6:$AZ$11,3,TRUE))-1.05)/3)</f>
        <v>274.57536231884058</v>
      </c>
      <c r="I56" s="87">
        <f>G56-H56</f>
        <v>1382.9693745232648</v>
      </c>
      <c r="J56" s="87">
        <f>'FREEVAL INPUT 2020 Hourly'!K$55*(1-(1/(VLOOKUP('FREEVAL INPUT 2020 Hourly'!K$55,'Rate Calculations &amp; PHF'!$AX$6:$AZ$11,3,TRUE))-1.05)/3)</f>
        <v>858.2179888789334</v>
      </c>
      <c r="K56" s="87">
        <f>I56+J56</f>
        <v>2241.1873634021981</v>
      </c>
      <c r="L56" s="87">
        <f>'FREEVAL INPUT 2020 Hourly'!M$55*(1-(1/(VLOOKUP('FREEVAL INPUT 2020 Hourly'!M$55,'Rate Calculations &amp; PHF'!$AX$6:$AZ$11,3,TRUE))-1.05)/3)</f>
        <v>241.98188405797103</v>
      </c>
      <c r="M56" s="87">
        <f>K56-L56</f>
        <v>1999.2054793442271</v>
      </c>
      <c r="N56" s="87">
        <f>'FREEVAL INPUT 2020 Hourly'!O$55*(1-(1/(VLOOKUP('FREEVAL INPUT 2020 Hourly'!O$55,'Rate Calculations &amp; PHF'!$AX$6:$AZ$11,3,TRUE))-1.05)/3)</f>
        <v>813.82740324726433</v>
      </c>
      <c r="O56" s="87">
        <f>M56+N56</f>
        <v>2813.0328825914912</v>
      </c>
      <c r="P56" s="87">
        <f>'FREEVAL INPUT 2020 Hourly'!Q$55*(1-(1/(VLOOKUP('FREEVAL INPUT 2020 Hourly'!Q$55,'Rate Calculations &amp; PHF'!$AX$6:$AZ$11,3,TRUE))-1.05)/3)</f>
        <v>102.48697318007663</v>
      </c>
      <c r="Q56" s="104">
        <f t="shared" si="5"/>
        <v>2710.5459094114144</v>
      </c>
    </row>
    <row r="57" spans="1:17" x14ac:dyDescent="0.25">
      <c r="A57" s="38"/>
      <c r="B57" s="20">
        <v>0.70833333333333304</v>
      </c>
      <c r="C57" s="21">
        <f>'FREEVAL INPUT 2020 Hourly'!D$56*'Rate Calculations &amp; PHF'!$BC6</f>
        <v>1601.5630691178567</v>
      </c>
      <c r="D57" s="21">
        <f>'FREEVAL INPUT 2020 Hourly'!E$56*'Rate Calculations &amp; PHF'!$BC6</f>
        <v>224.95749608154384</v>
      </c>
      <c r="E57" s="21">
        <f>'FREEVAL INPUT 2020 Hourly'!F$56*'Rate Calculations &amp; PHF'!$BC6</f>
        <v>1376.6055730363128</v>
      </c>
      <c r="F57" s="21">
        <f>'FREEVAL INPUT 2020 Hourly'!G$56*'Rate Calculations &amp; PHF'!$BC6</f>
        <v>117.51510989334378</v>
      </c>
      <c r="G57" s="21">
        <f>'FREEVAL INPUT 2020 Hourly'!H$56*'Rate Calculations &amp; PHF'!$BC6</f>
        <v>1494.1206829296568</v>
      </c>
      <c r="H57" s="21">
        <f>'FREEVAL INPUT 2020 Hourly'!I$56*'Rate Calculations &amp; PHF'!$BC6</f>
        <v>294.34737049475632</v>
      </c>
      <c r="I57" s="21">
        <f>'FREEVAL INPUT 2020 Hourly'!J$56*'Rate Calculations &amp; PHF'!$BC6</f>
        <v>1199.7733124349004</v>
      </c>
      <c r="J57" s="21">
        <f>'FREEVAL INPUT 2020 Hourly'!K$56*'Rate Calculations &amp; PHF'!$BC6</f>
        <v>942.35926219233772</v>
      </c>
      <c r="K57" s="21">
        <f>'FREEVAL INPUT 2020 Hourly'!L$56*'Rate Calculations &amp; PHF'!$BC6</f>
        <v>2142.1325746272382</v>
      </c>
      <c r="L57" s="21">
        <f>'FREEVAL INPUT 2020 Hourly'!M$56*'Rate Calculations &amp; PHF'!$BC6</f>
        <v>252.93728415138756</v>
      </c>
      <c r="M57" s="21">
        <f>'FREEVAL INPUT 2020 Hourly'!N$56*'Rate Calculations &amp; PHF'!$BC6</f>
        <v>1889.1952904758505</v>
      </c>
      <c r="N57" s="21">
        <f>'FREEVAL INPUT 2020 Hourly'!O$56*'Rate Calculations &amp; PHF'!$BC6</f>
        <v>818.12900316223147</v>
      </c>
      <c r="O57" s="21">
        <f>'FREEVAL INPUT 2020 Hourly'!P$56*'Rate Calculations &amp; PHF'!$BC6</f>
        <v>2707.3242936380821</v>
      </c>
      <c r="P57" s="21">
        <f>'FREEVAL INPUT 2020 Hourly'!Q$56*'Rate Calculations &amp; PHF'!$BC6</f>
        <v>106.32319466540629</v>
      </c>
      <c r="Q57" s="21">
        <f>'FREEVAL INPUT 2020 Hourly'!R$56*'Rate Calculations &amp; PHF'!$BC6</f>
        <v>2601.0010989726757</v>
      </c>
    </row>
    <row r="58" spans="1:17" x14ac:dyDescent="0.25">
      <c r="A58" s="38"/>
      <c r="B58" s="20">
        <v>0.71875</v>
      </c>
      <c r="C58" s="21">
        <f>'FREEVAL INPUT 2020 Hourly'!D$56*'Rate Calculations &amp; PHF'!$BC7</f>
        <v>1525.2981610646254</v>
      </c>
      <c r="D58" s="21">
        <f>'FREEVAL INPUT 2020 Hourly'!E$56*'Rate Calculations &amp; PHF'!$BC7</f>
        <v>214.24523436337506</v>
      </c>
      <c r="E58" s="21">
        <f>'FREEVAL INPUT 2020 Hourly'!F$56*'Rate Calculations &amp; PHF'!$BC7</f>
        <v>1311.0529267012503</v>
      </c>
      <c r="F58" s="21">
        <f>'FREEVAL INPUT 2020 Hourly'!G$56*'Rate Calculations &amp; PHF'!$BC7</f>
        <v>111.91915227937503</v>
      </c>
      <c r="G58" s="21">
        <f>'FREEVAL INPUT 2020 Hourly'!H$56*'Rate Calculations &amp; PHF'!$BC7</f>
        <v>1422.9720789806254</v>
      </c>
      <c r="H58" s="21">
        <f>'FREEVAL INPUT 2020 Hourly'!I$56*'Rate Calculations &amp; PHF'!$BC7</f>
        <v>280.33082904262506</v>
      </c>
      <c r="I58" s="21">
        <f>'FREEVAL INPUT 2020 Hourly'!J$56*'Rate Calculations &amp; PHF'!$BC7</f>
        <v>1142.6412499380003</v>
      </c>
      <c r="J58" s="21">
        <f>'FREEVAL INPUT 2020 Hourly'!K$56*'Rate Calculations &amp; PHF'!$BC7</f>
        <v>897.48501161175022</v>
      </c>
      <c r="K58" s="21">
        <f>'FREEVAL INPUT 2020 Hourly'!L$56*'Rate Calculations &amp; PHF'!$BC7</f>
        <v>2040.1262615497506</v>
      </c>
      <c r="L58" s="21">
        <f>'FREEVAL INPUT 2020 Hourly'!M$56*'Rate Calculations &amp; PHF'!$BC7</f>
        <v>240.89265157275005</v>
      </c>
      <c r="M58" s="21">
        <f>'FREEVAL INPUT 2020 Hourly'!N$56*'Rate Calculations &amp; PHF'!$BC7</f>
        <v>1799.2336099770005</v>
      </c>
      <c r="N58" s="21">
        <f>'FREEVAL INPUT 2020 Hourly'!O$56*'Rate Calculations &amp; PHF'!$BC7</f>
        <v>779.17047920212519</v>
      </c>
      <c r="O58" s="21">
        <f>'FREEVAL INPUT 2020 Hourly'!P$56*'Rate Calculations &amp; PHF'!$BC7</f>
        <v>2578.4040891791255</v>
      </c>
      <c r="P58" s="21">
        <f>'FREEVAL INPUT 2020 Hourly'!Q$56*'Rate Calculations &amp; PHF'!$BC7</f>
        <v>101.26018539562503</v>
      </c>
      <c r="Q58" s="21">
        <f>'FREEVAL INPUT 2020 Hourly'!R$56*'Rate Calculations &amp; PHF'!$BC7</f>
        <v>2477.1439037835007</v>
      </c>
    </row>
    <row r="59" spans="1:17" x14ac:dyDescent="0.25">
      <c r="A59" s="38"/>
      <c r="B59" s="20">
        <v>0.72916666666666696</v>
      </c>
      <c r="C59" s="21">
        <f>'FREEVAL INPUT 2020 Hourly'!D$56*'Rate Calculations &amp; PHF'!$BC8</f>
        <v>1487.1657070380097</v>
      </c>
      <c r="D59" s="21">
        <f>'FREEVAL INPUT 2020 Hourly'!E$56*'Rate Calculations &amp; PHF'!$BC8</f>
        <v>208.88910350429069</v>
      </c>
      <c r="E59" s="21">
        <f>'FREEVAL INPUT 2020 Hourly'!F$56*'Rate Calculations &amp; PHF'!$BC8</f>
        <v>1278.276603533719</v>
      </c>
      <c r="F59" s="21">
        <f>'FREEVAL INPUT 2020 Hourly'!G$56*'Rate Calculations &amp; PHF'!$BC8</f>
        <v>109.12117347239065</v>
      </c>
      <c r="G59" s="21">
        <f>'FREEVAL INPUT 2020 Hourly'!H$56*'Rate Calculations &amp; PHF'!$BC8</f>
        <v>1387.3977770061097</v>
      </c>
      <c r="H59" s="21">
        <f>'FREEVAL INPUT 2020 Hourly'!I$56*'Rate Calculations &amp; PHF'!$BC8</f>
        <v>273.32255831655942</v>
      </c>
      <c r="I59" s="21">
        <f>'FREEVAL INPUT 2020 Hourly'!J$56*'Rate Calculations &amp; PHF'!$BC8</f>
        <v>1114.0752186895502</v>
      </c>
      <c r="J59" s="21">
        <f>'FREEVAL INPUT 2020 Hourly'!K$56*'Rate Calculations &amp; PHF'!$BC8</f>
        <v>875.04788632145642</v>
      </c>
      <c r="K59" s="21">
        <f>'FREEVAL INPUT 2020 Hourly'!L$56*'Rate Calculations &amp; PHF'!$BC8</f>
        <v>1989.1231050110068</v>
      </c>
      <c r="L59" s="21">
        <f>'FREEVAL INPUT 2020 Hourly'!M$56*'Rate Calculations &amp; PHF'!$BC8</f>
        <v>234.8703352834313</v>
      </c>
      <c r="M59" s="21">
        <f>'FREEVAL INPUT 2020 Hourly'!N$56*'Rate Calculations &amp; PHF'!$BC8</f>
        <v>1754.2527697275755</v>
      </c>
      <c r="N59" s="21">
        <f>'FREEVAL INPUT 2020 Hourly'!O$56*'Rate Calculations &amp; PHF'!$BC8</f>
        <v>759.69121722207205</v>
      </c>
      <c r="O59" s="21">
        <f>'FREEVAL INPUT 2020 Hourly'!P$56*'Rate Calculations &amp; PHF'!$BC8</f>
        <v>2513.9439869496473</v>
      </c>
      <c r="P59" s="21">
        <f>'FREEVAL INPUT 2020 Hourly'!Q$56*'Rate Calculations &amp; PHF'!$BC8</f>
        <v>98.728680760734406</v>
      </c>
      <c r="Q59" s="21">
        <f>'FREEVAL INPUT 2020 Hourly'!R$56*'Rate Calculations &amp; PHF'!$BC8</f>
        <v>2415.215306188913</v>
      </c>
    </row>
    <row r="60" spans="1:17" x14ac:dyDescent="0.25">
      <c r="A60" s="38"/>
      <c r="B60" s="20">
        <v>0.73958333333333304</v>
      </c>
      <c r="C60" s="21">
        <f>'FREEVAL INPUT 2020 Hourly'!D$56*'Rate Calculations &amp; PHF'!$BC9</f>
        <v>1487.1657070380097</v>
      </c>
      <c r="D60" s="21">
        <f>'FREEVAL INPUT 2020 Hourly'!E$56*'Rate Calculations &amp; PHF'!$BC9</f>
        <v>208.88910350429069</v>
      </c>
      <c r="E60" s="21">
        <f>'FREEVAL INPUT 2020 Hourly'!F$56*'Rate Calculations &amp; PHF'!$BC9</f>
        <v>1278.276603533719</v>
      </c>
      <c r="F60" s="21">
        <f>'FREEVAL INPUT 2020 Hourly'!G$56*'Rate Calculations &amp; PHF'!$BC9</f>
        <v>109.12117347239065</v>
      </c>
      <c r="G60" s="21">
        <f>'FREEVAL INPUT 2020 Hourly'!H$56*'Rate Calculations &amp; PHF'!$BC9</f>
        <v>1387.3977770061097</v>
      </c>
      <c r="H60" s="21">
        <f>'FREEVAL INPUT 2020 Hourly'!I$56*'Rate Calculations &amp; PHF'!$BC9</f>
        <v>273.32255831655942</v>
      </c>
      <c r="I60" s="21">
        <f>'FREEVAL INPUT 2020 Hourly'!J$56*'Rate Calculations &amp; PHF'!$BC9</f>
        <v>1114.0752186895502</v>
      </c>
      <c r="J60" s="21">
        <f>'FREEVAL INPUT 2020 Hourly'!K$56*'Rate Calculations &amp; PHF'!$BC9</f>
        <v>875.04788632145642</v>
      </c>
      <c r="K60" s="21">
        <f>'FREEVAL INPUT 2020 Hourly'!L$56*'Rate Calculations &amp; PHF'!$BC9</f>
        <v>1989.1231050110068</v>
      </c>
      <c r="L60" s="21">
        <f>'FREEVAL INPUT 2020 Hourly'!M$56*'Rate Calculations &amp; PHF'!$BC9</f>
        <v>234.8703352834313</v>
      </c>
      <c r="M60" s="21">
        <f>'FREEVAL INPUT 2020 Hourly'!N$56*'Rate Calculations &amp; PHF'!$BC9</f>
        <v>1754.2527697275755</v>
      </c>
      <c r="N60" s="21">
        <f>'FREEVAL INPUT 2020 Hourly'!O$56*'Rate Calculations &amp; PHF'!$BC9</f>
        <v>759.69121722207205</v>
      </c>
      <c r="O60" s="21">
        <f>'FREEVAL INPUT 2020 Hourly'!P$56*'Rate Calculations &amp; PHF'!$BC9</f>
        <v>2513.9439869496473</v>
      </c>
      <c r="P60" s="21">
        <f>'FREEVAL INPUT 2020 Hourly'!Q$56*'Rate Calculations &amp; PHF'!$BC9</f>
        <v>98.728680760734406</v>
      </c>
      <c r="Q60" s="21">
        <f>'FREEVAL INPUT 2020 Hourly'!R$56*'Rate Calculations &amp; PHF'!$BC9</f>
        <v>2415.215306188913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0"/>
  <sheetViews>
    <sheetView zoomScale="55" zoomScaleNormal="55" workbookViewId="0">
      <selection activeCell="R19" sqref="R19"/>
    </sheetView>
  </sheetViews>
  <sheetFormatPr defaultRowHeight="15" x14ac:dyDescent="0.25"/>
  <cols>
    <col min="1" max="1" width="23.85546875" bestFit="1" customWidth="1"/>
    <col min="2" max="2" width="15.85546875" style="42" bestFit="1" customWidth="1"/>
    <col min="3" max="3" width="37.28515625" style="42" bestFit="1" customWidth="1"/>
    <col min="4" max="4" width="33.42578125" style="42" bestFit="1" customWidth="1"/>
    <col min="5" max="5" width="48" style="42" bestFit="1" customWidth="1"/>
    <col min="6" max="6" width="36.7109375" bestFit="1" customWidth="1"/>
    <col min="7" max="7" width="37" bestFit="1" customWidth="1"/>
    <col min="8" max="8" width="40.140625" bestFit="1" customWidth="1"/>
    <col min="9" max="9" width="32.85546875" bestFit="1" customWidth="1"/>
    <col min="10" max="10" width="35.7109375" bestFit="1" customWidth="1"/>
    <col min="11" max="11" width="23.42578125" bestFit="1" customWidth="1"/>
    <col min="12" max="12" width="31.7109375" bestFit="1" customWidth="1"/>
    <col min="13" max="13" width="23.42578125" bestFit="1" customWidth="1"/>
    <col min="14" max="14" width="35.7109375" bestFit="1" customWidth="1"/>
    <col min="15" max="15" width="32.85546875" bestFit="1" customWidth="1"/>
    <col min="16" max="16" width="40.140625" bestFit="1" customWidth="1"/>
    <col min="17" max="17" width="35.7109375" bestFit="1" customWidth="1"/>
    <col min="18" max="18" width="36.7109375" bestFit="1" customWidth="1"/>
  </cols>
  <sheetData>
    <row r="1" spans="1:18" x14ac:dyDescent="0.25">
      <c r="A1" s="14">
        <v>2023</v>
      </c>
      <c r="B1" s="53"/>
      <c r="C1" s="53"/>
      <c r="D1" s="53"/>
      <c r="E1" s="5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t="s">
        <v>39</v>
      </c>
      <c r="B2" s="16"/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</row>
    <row r="3" spans="1:18" x14ac:dyDescent="0.25">
      <c r="B3" s="16" t="s">
        <v>203</v>
      </c>
      <c r="C3" s="16" t="s">
        <v>252</v>
      </c>
      <c r="D3" s="16" t="s">
        <v>251</v>
      </c>
      <c r="E3" s="16" t="s">
        <v>250</v>
      </c>
      <c r="F3" s="17" t="s">
        <v>189</v>
      </c>
      <c r="G3" s="17" t="s">
        <v>190</v>
      </c>
      <c r="H3" s="17" t="s">
        <v>191</v>
      </c>
      <c r="I3" s="17" t="s">
        <v>192</v>
      </c>
      <c r="J3" s="17" t="s">
        <v>193</v>
      </c>
      <c r="K3" s="17" t="s">
        <v>194</v>
      </c>
      <c r="L3" s="17" t="s">
        <v>195</v>
      </c>
      <c r="M3" s="17" t="s">
        <v>196</v>
      </c>
      <c r="N3" s="17" t="s">
        <v>197</v>
      </c>
      <c r="O3" s="17" t="s">
        <v>198</v>
      </c>
      <c r="P3" s="17" t="s">
        <v>199</v>
      </c>
      <c r="Q3" s="17" t="s">
        <v>200</v>
      </c>
      <c r="R3" s="17" t="s">
        <v>201</v>
      </c>
    </row>
    <row r="4" spans="1:18" x14ac:dyDescent="0.25">
      <c r="A4" s="49"/>
      <c r="B4" s="16" t="s">
        <v>6</v>
      </c>
      <c r="C4" s="16"/>
      <c r="D4" s="16"/>
      <c r="E4" s="16"/>
      <c r="F4" s="17"/>
      <c r="G4" s="17" t="s">
        <v>9</v>
      </c>
      <c r="H4" s="17"/>
      <c r="I4" s="17" t="s">
        <v>13</v>
      </c>
      <c r="J4" s="17"/>
      <c r="K4" s="42" t="s">
        <v>17</v>
      </c>
      <c r="M4" s="17" t="s">
        <v>21</v>
      </c>
      <c r="N4" s="17" t="s">
        <v>24</v>
      </c>
      <c r="O4" s="17" t="s">
        <v>27</v>
      </c>
      <c r="P4" s="17"/>
      <c r="Q4" s="17" t="s">
        <v>31</v>
      </c>
    </row>
    <row r="5" spans="1:18" x14ac:dyDescent="0.25">
      <c r="A5" s="17"/>
      <c r="B5" s="16" t="s">
        <v>202</v>
      </c>
      <c r="C5" s="17" t="s">
        <v>40</v>
      </c>
      <c r="D5" s="17" t="s">
        <v>42</v>
      </c>
      <c r="E5" s="17" t="s">
        <v>40</v>
      </c>
      <c r="F5" s="17" t="s">
        <v>40</v>
      </c>
      <c r="G5" s="17" t="s">
        <v>41</v>
      </c>
      <c r="H5" s="17" t="s">
        <v>40</v>
      </c>
      <c r="I5" s="17" t="s">
        <v>42</v>
      </c>
      <c r="J5" s="17" t="s">
        <v>40</v>
      </c>
      <c r="K5" s="17" t="s">
        <v>41</v>
      </c>
      <c r="L5" s="17" t="s">
        <v>40</v>
      </c>
      <c r="M5" s="17" t="s">
        <v>42</v>
      </c>
      <c r="N5" s="17" t="s">
        <v>40</v>
      </c>
      <c r="O5" s="17" t="s">
        <v>41</v>
      </c>
      <c r="P5" s="17" t="s">
        <v>40</v>
      </c>
      <c r="Q5" s="17" t="s">
        <v>42</v>
      </c>
      <c r="R5" s="17" t="s">
        <v>40</v>
      </c>
    </row>
    <row r="6" spans="1:18" x14ac:dyDescent="0.25">
      <c r="A6" s="17"/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38"/>
      <c r="B7" s="20">
        <v>0.25</v>
      </c>
      <c r="C7" s="21">
        <f>'FREEVAL INPUT 2023 Hourly'!D$13*'Rate Calculations &amp; PHF'!$BB6</f>
        <v>1358.1096770776348</v>
      </c>
      <c r="D7" s="21">
        <f>'FREEVAL INPUT 2023 Hourly'!E$13*'Rate Calculations &amp; PHF'!$BB6</f>
        <v>32.208134634252211</v>
      </c>
      <c r="E7" s="21">
        <f>'FREEVAL INPUT 2023 Hourly'!F$13*'Rate Calculations &amp; PHF'!$BB6</f>
        <v>1390.3178117118871</v>
      </c>
      <c r="F7" s="21">
        <f>'FREEVAL INPUT 2023 Hourly'!G$13*'Rate Calculations &amp; PHF'!$BB6</f>
        <v>1390.3178117118871</v>
      </c>
      <c r="G7" s="21">
        <f>'FREEVAL INPUT 2023 Hourly'!H$13*'Rate Calculations &amp; PHF'!$BB6</f>
        <v>396.16005600130222</v>
      </c>
      <c r="H7" s="21">
        <f>'FREEVAL INPUT 2023 Hourly'!I$13*'Rate Calculations &amp; PHF'!$BB6</f>
        <v>994.15775571058487</v>
      </c>
      <c r="I7" s="21">
        <f>'FREEVAL INPUT 2023 Hourly'!J$13*'Rate Calculations &amp; PHF'!$BB6</f>
        <v>82.667545561247337</v>
      </c>
      <c r="J7" s="21">
        <f>'FREEVAL INPUT 2023 Hourly'!K$13*'Rate Calculations &amp; PHF'!$BB6</f>
        <v>1076.8253012718321</v>
      </c>
      <c r="K7" s="21">
        <f>'FREEVAL INPUT 2023 Hourly'!L$13*'Rate Calculations &amp; PHF'!$BB6</f>
        <v>313.49251044005484</v>
      </c>
      <c r="L7" s="21">
        <f>'FREEVAL INPUT 2023 Hourly'!M$13*'Rate Calculations &amp; PHF'!$BB6</f>
        <v>763.3327908317774</v>
      </c>
      <c r="M7" s="21">
        <f>'FREEVAL INPUT 2023 Hourly'!N$13*'Rate Calculations &amp; PHF'!$BB6</f>
        <v>121.31730712234999</v>
      </c>
      <c r="N7" s="21">
        <f>'FREEVAL INPUT 2023 Hourly'!O$13*'Rate Calculations &amp; PHF'!$BB6</f>
        <v>884.65009795412743</v>
      </c>
      <c r="O7" s="21">
        <f>'FREEVAL INPUT 2023 Hourly'!P$13*'Rate Calculations &amp; PHF'!$BB6</f>
        <v>40.796970536719471</v>
      </c>
      <c r="P7" s="21">
        <f>'FREEVAL INPUT 2023 Hourly'!Q$13*'Rate Calculations &amp; PHF'!$BB6</f>
        <v>843.8531274174079</v>
      </c>
      <c r="Q7" s="21">
        <f>'FREEVAL INPUT 2023 Hourly'!R$13*'Rate Calculations &amp; PHF'!$BB6</f>
        <v>81.593941073438941</v>
      </c>
      <c r="R7" s="21">
        <f>'FREEVAL INPUT 2023 Hourly'!S$13*'Rate Calculations &amp; PHF'!$BB6</f>
        <v>925.44706849084685</v>
      </c>
    </row>
    <row r="8" spans="1:18" x14ac:dyDescent="0.25">
      <c r="A8" s="38"/>
      <c r="B8" s="20">
        <v>0.26041666666666702</v>
      </c>
      <c r="C8" s="21">
        <f>'FREEVAL INPUT 2023 Hourly'!D$13*'Rate Calculations &amp; PHF'!$BB7</f>
        <v>1358.1096770776348</v>
      </c>
      <c r="D8" s="21">
        <f>'FREEVAL INPUT 2023 Hourly'!E$13*'Rate Calculations &amp; PHF'!$BB7</f>
        <v>32.208134634252211</v>
      </c>
      <c r="E8" s="21">
        <f>'FREEVAL INPUT 2023 Hourly'!F$13*'Rate Calculations &amp; PHF'!$BB7</f>
        <v>1390.3178117118871</v>
      </c>
      <c r="F8" s="21">
        <f>'FREEVAL INPUT 2023 Hourly'!G$13*'Rate Calculations &amp; PHF'!$BB7</f>
        <v>1390.3178117118871</v>
      </c>
      <c r="G8" s="21">
        <f>'FREEVAL INPUT 2023 Hourly'!H$13*'Rate Calculations &amp; PHF'!$BB7</f>
        <v>396.16005600130222</v>
      </c>
      <c r="H8" s="21">
        <f>'FREEVAL INPUT 2023 Hourly'!I$13*'Rate Calculations &amp; PHF'!$BB7</f>
        <v>994.15775571058487</v>
      </c>
      <c r="I8" s="21">
        <f>'FREEVAL INPUT 2023 Hourly'!J$13*'Rate Calculations &amp; PHF'!$BB7</f>
        <v>82.667545561247337</v>
      </c>
      <c r="J8" s="21">
        <f>'FREEVAL INPUT 2023 Hourly'!K$13*'Rate Calculations &amp; PHF'!$BB7</f>
        <v>1076.8253012718321</v>
      </c>
      <c r="K8" s="21">
        <f>'FREEVAL INPUT 2023 Hourly'!L$13*'Rate Calculations &amp; PHF'!$BB7</f>
        <v>313.49251044005484</v>
      </c>
      <c r="L8" s="21">
        <f>'FREEVAL INPUT 2023 Hourly'!M$13*'Rate Calculations &amp; PHF'!$BB7</f>
        <v>763.3327908317774</v>
      </c>
      <c r="M8" s="21">
        <f>'FREEVAL INPUT 2023 Hourly'!N$13*'Rate Calculations &amp; PHF'!$BB7</f>
        <v>121.31730712234999</v>
      </c>
      <c r="N8" s="21">
        <f>'FREEVAL INPUT 2023 Hourly'!O$13*'Rate Calculations &amp; PHF'!$BB7</f>
        <v>884.65009795412743</v>
      </c>
      <c r="O8" s="21">
        <f>'FREEVAL INPUT 2023 Hourly'!P$13*'Rate Calculations &amp; PHF'!$BB7</f>
        <v>40.796970536719471</v>
      </c>
      <c r="P8" s="21">
        <f>'FREEVAL INPUT 2023 Hourly'!Q$13*'Rate Calculations &amp; PHF'!$BB7</f>
        <v>843.8531274174079</v>
      </c>
      <c r="Q8" s="21">
        <f>'FREEVAL INPUT 2023 Hourly'!R$13*'Rate Calculations &amp; PHF'!$BB7</f>
        <v>81.593941073438941</v>
      </c>
      <c r="R8" s="21">
        <f>'FREEVAL INPUT 2023 Hourly'!S$13*'Rate Calculations &amp; PHF'!$BB7</f>
        <v>925.44706849084685</v>
      </c>
    </row>
    <row r="9" spans="1:18" x14ac:dyDescent="0.25">
      <c r="A9" s="38"/>
      <c r="B9" s="20">
        <v>0.27083333333333398</v>
      </c>
      <c r="C9" s="21">
        <f>'FREEVAL INPUT 2023 Hourly'!D$13*'Rate Calculations &amp; PHF'!$BB8</f>
        <v>1392.9330021309077</v>
      </c>
      <c r="D9" s="21">
        <f>'FREEVAL INPUT 2023 Hourly'!E$13*'Rate Calculations &amp; PHF'!$BB8</f>
        <v>33.033984240258675</v>
      </c>
      <c r="E9" s="21">
        <f>'FREEVAL INPUT 2023 Hourly'!F$13*'Rate Calculations &amp; PHF'!$BB8</f>
        <v>1425.9669863711663</v>
      </c>
      <c r="F9" s="21">
        <f>'FREEVAL INPUT 2023 Hourly'!G$13*'Rate Calculations &amp; PHF'!$BB8</f>
        <v>1425.9669863711663</v>
      </c>
      <c r="G9" s="21">
        <f>'FREEVAL INPUT 2023 Hourly'!H$13*'Rate Calculations &amp; PHF'!$BB8</f>
        <v>406.31800615518176</v>
      </c>
      <c r="H9" s="21">
        <f>'FREEVAL INPUT 2023 Hourly'!I$13*'Rate Calculations &amp; PHF'!$BB8</f>
        <v>1019.6489802159845</v>
      </c>
      <c r="I9" s="21">
        <f>'FREEVAL INPUT 2023 Hourly'!J$13*'Rate Calculations &amp; PHF'!$BB8</f>
        <v>84.787226216663939</v>
      </c>
      <c r="J9" s="21">
        <f>'FREEVAL INPUT 2023 Hourly'!K$13*'Rate Calculations &amp; PHF'!$BB8</f>
        <v>1104.4362064326483</v>
      </c>
      <c r="K9" s="21">
        <f>'FREEVAL INPUT 2023 Hourly'!L$13*'Rate Calculations &amp; PHF'!$BB8</f>
        <v>321.53077993851781</v>
      </c>
      <c r="L9" s="21">
        <f>'FREEVAL INPUT 2023 Hourly'!M$13*'Rate Calculations &amp; PHF'!$BB8</f>
        <v>782.90542649413067</v>
      </c>
      <c r="M9" s="21">
        <f>'FREEVAL INPUT 2023 Hourly'!N$13*'Rate Calculations &amp; PHF'!$BB8</f>
        <v>124.42800730497434</v>
      </c>
      <c r="N9" s="21">
        <f>'FREEVAL INPUT 2023 Hourly'!O$13*'Rate Calculations &amp; PHF'!$BB8</f>
        <v>907.33343379910502</v>
      </c>
      <c r="O9" s="21">
        <f>'FREEVAL INPUT 2023 Hourly'!P$13*'Rate Calculations &amp; PHF'!$BB8</f>
        <v>41.843046704327662</v>
      </c>
      <c r="P9" s="21">
        <f>'FREEVAL INPUT 2023 Hourly'!Q$13*'Rate Calculations &amp; PHF'!$BB8</f>
        <v>865.49038709477736</v>
      </c>
      <c r="Q9" s="21">
        <f>'FREEVAL INPUT 2023 Hourly'!R$13*'Rate Calculations &amp; PHF'!$BB8</f>
        <v>83.686093408655324</v>
      </c>
      <c r="R9" s="21">
        <f>'FREEVAL INPUT 2023 Hourly'!S$13*'Rate Calculations &amp; PHF'!$BB8</f>
        <v>949.17648050343269</v>
      </c>
    </row>
    <row r="10" spans="1:18" x14ac:dyDescent="0.25">
      <c r="A10" s="38"/>
      <c r="B10" s="20">
        <v>0.28125</v>
      </c>
      <c r="C10" s="21">
        <f>'FREEVAL INPUT 2023 Hourly'!D$13*'Rate Calculations &amp; PHF'!$BB9</f>
        <v>1462.579652237453</v>
      </c>
      <c r="D10" s="21">
        <f>'FREEVAL INPUT 2023 Hourly'!E$13*'Rate Calculations &amp; PHF'!$BB9</f>
        <v>34.685683452271611</v>
      </c>
      <c r="E10" s="21">
        <f>'FREEVAL INPUT 2023 Hourly'!F$13*'Rate Calculations &amp; PHF'!$BB9</f>
        <v>1497.2653356897247</v>
      </c>
      <c r="F10" s="21">
        <f>'FREEVAL INPUT 2023 Hourly'!G$13*'Rate Calculations &amp; PHF'!$BB9</f>
        <v>1497.2653356897247</v>
      </c>
      <c r="G10" s="21">
        <f>'FREEVAL INPUT 2023 Hourly'!H$13*'Rate Calculations &amp; PHF'!$BB9</f>
        <v>426.63390646294084</v>
      </c>
      <c r="H10" s="21">
        <f>'FREEVAL INPUT 2023 Hourly'!I$13*'Rate Calculations &amp; PHF'!$BB9</f>
        <v>1070.6314292267837</v>
      </c>
      <c r="I10" s="21">
        <f>'FREEVAL INPUT 2023 Hourly'!J$13*'Rate Calculations &amp; PHF'!$BB9</f>
        <v>89.026587527497142</v>
      </c>
      <c r="J10" s="21">
        <f>'FREEVAL INPUT 2023 Hourly'!K$13*'Rate Calculations &amp; PHF'!$BB9</f>
        <v>1159.6580167542809</v>
      </c>
      <c r="K10" s="21">
        <f>'FREEVAL INPUT 2023 Hourly'!L$13*'Rate Calculations &amp; PHF'!$BB9</f>
        <v>337.60731893544374</v>
      </c>
      <c r="L10" s="21">
        <f>'FREEVAL INPUT 2023 Hourly'!M$13*'Rate Calculations &amp; PHF'!$BB9</f>
        <v>822.05069781883719</v>
      </c>
      <c r="M10" s="21">
        <f>'FREEVAL INPUT 2023 Hourly'!N$13*'Rate Calculations &amp; PHF'!$BB9</f>
        <v>130.64940767022307</v>
      </c>
      <c r="N10" s="21">
        <f>'FREEVAL INPUT 2023 Hourly'!O$13*'Rate Calculations &amp; PHF'!$BB9</f>
        <v>952.70010548906032</v>
      </c>
      <c r="O10" s="21">
        <f>'FREEVAL INPUT 2023 Hourly'!P$13*'Rate Calculations &amp; PHF'!$BB9</f>
        <v>43.935199039544045</v>
      </c>
      <c r="P10" s="21">
        <f>'FREEVAL INPUT 2023 Hourly'!Q$13*'Rate Calculations &amp; PHF'!$BB9</f>
        <v>908.76490644951627</v>
      </c>
      <c r="Q10" s="21">
        <f>'FREEVAL INPUT 2023 Hourly'!R$13*'Rate Calculations &amp; PHF'!$BB9</f>
        <v>87.870398079088091</v>
      </c>
      <c r="R10" s="21">
        <f>'FREEVAL INPUT 2023 Hourly'!S$13*'Rate Calculations &amp; PHF'!$BB9</f>
        <v>996.63530452860437</v>
      </c>
    </row>
    <row r="11" spans="1:18" s="78" customFormat="1" x14ac:dyDescent="0.25">
      <c r="A11" s="85"/>
      <c r="B11" s="86">
        <v>0.29166666666666702</v>
      </c>
      <c r="C11" s="87">
        <f>E11-D11</f>
        <v>1794.9554290538028</v>
      </c>
      <c r="D11" s="87">
        <f>'FREEVAL INPUT 2023 Hourly'!E14*(1-(1/(VLOOKUP('FREEVAL INPUT 2023 Hourly'!E14,'Rate Calculations &amp; PHF'!$AX$6:$AZ$11,3,TRUE))-0.9)/3)</f>
        <v>53.903614457831324</v>
      </c>
      <c r="E11" s="90">
        <f>H11+G11</f>
        <v>1848.8590435116341</v>
      </c>
      <c r="F11" s="87">
        <f>H11+G11</f>
        <v>1848.8590435116341</v>
      </c>
      <c r="G11" s="87">
        <f>'FREEVAL INPUT 2023 Hourly'!H14*(1-(1/(VLOOKUP('FREEVAL INPUT 2023 Hourly'!H14,'Rate Calculations &amp; PHF'!$AX$6:$AZ$11,3,TRUE))-0.9)/3)</f>
        <v>584.71935483870971</v>
      </c>
      <c r="H11" s="87">
        <f>J11-I11</f>
        <v>1264.1396886729244</v>
      </c>
      <c r="I11" s="87">
        <f>'FREEVAL INPUT 2023 Hourly'!J14*(1-(1/(VLOOKUP('FREEVAL INPUT 2023 Hourly'!J14,'Rate Calculations &amp; PHF'!$AX$6:$AZ$11,3,TRUE))-0.9)/3)</f>
        <v>110.93984674329502</v>
      </c>
      <c r="J11" s="87">
        <f>L11+K11</f>
        <v>1375.0795354162194</v>
      </c>
      <c r="K11" s="87">
        <f>'FREEVAL INPUT 2023 Hourly'!L14*(1-(1/(VLOOKUP('FREEVAL INPUT 2023 Hourly'!L14,'Rate Calculations &amp; PHF'!$AX$6:$AZ$11,3,TRUE))-0.9)/3)</f>
        <v>548.93942652329747</v>
      </c>
      <c r="L11" s="87">
        <f>N11-M11</f>
        <v>826.14010889292194</v>
      </c>
      <c r="M11" s="87">
        <f>'FREEVAL INPUT 2023 Hourly'!N14*(1-(1/(VLOOKUP('FREEVAL INPUT 2023 Hourly'!N14,'Rate Calculations &amp; PHF'!$AX$6:$AZ$11,3,TRUE))-0.9)/3)</f>
        <v>173.28620689655173</v>
      </c>
      <c r="N11" s="87">
        <f>'FREEVAL INPUT 2023 Hourly'!O14*(1-(1/(VLOOKUP('FREEVAL INPUT 2023 Hourly'!O14,'Rate Calculations &amp; PHF'!$AX$6:$AZ$11,3,TRUE))-0.9)/3)</f>
        <v>999.42631578947373</v>
      </c>
      <c r="O11" s="87">
        <f>'FREEVAL INPUT 2023 Hourly'!P14*(1-(1/(VLOOKUP('FREEVAL INPUT 2023 Hourly'!P14,'Rate Calculations &amp; PHF'!$AX$6:$AZ$11,3,TRUE))-0.9)/3)</f>
        <v>62.887550200803211</v>
      </c>
      <c r="P11" s="87">
        <f>N11-O11</f>
        <v>936.53876558867057</v>
      </c>
      <c r="Q11" s="87">
        <f>'FREEVAL INPUT 2023 Hourly'!R14*(1-(1/(VLOOKUP('FREEVAL INPUT 2023 Hourly'!R14,'Rate Calculations &amp; PHF'!$AX$6:$AZ$11,3,TRUE))-0.9)/3)</f>
        <v>174.20306513409963</v>
      </c>
      <c r="R11" s="87">
        <f>P11+Q11</f>
        <v>1110.7418307227701</v>
      </c>
    </row>
    <row r="12" spans="1:18" s="78" customFormat="1" x14ac:dyDescent="0.25">
      <c r="A12" s="85"/>
      <c r="B12" s="86">
        <v>0.30208333333333398</v>
      </c>
      <c r="C12" s="87">
        <f t="shared" ref="C12:C14" si="0">E12-D12</f>
        <v>1889.305429053803</v>
      </c>
      <c r="D12" s="87">
        <f>'FREEVAL INPUT 2023 Hourly'!E14*(1-(1/(VLOOKUP('FREEVAL INPUT 2020 Hourly'!E14,'Rate Calculations &amp; PHF'!$AX$6:$AZ$11,3,TRUE))-1.05)/3)</f>
        <v>56.903614457831324</v>
      </c>
      <c r="E12" s="90">
        <f t="shared" ref="E12:E14" si="1">H12+G12</f>
        <v>1946.2090435116343</v>
      </c>
      <c r="F12" s="87">
        <f>H12+G12</f>
        <v>1946.2090435116343</v>
      </c>
      <c r="G12" s="87">
        <f>'FREEVAL INPUT 2023 Hourly'!H14*(1-(1/(VLOOKUP('FREEVAL INPUT 2020 Hourly'!H14,'Rate Calculations &amp; PHF'!$AX$6:$AZ$11,3,TRUE))-1.05)/3)</f>
        <v>615.76935483870966</v>
      </c>
      <c r="H12" s="87">
        <f>J12-I12</f>
        <v>1330.4396886729246</v>
      </c>
      <c r="I12" s="87">
        <f>'FREEVAL INPUT 2023 Hourly'!J14*(1-(1/(VLOOKUP('FREEVAL INPUT 2020 Hourly'!J14,'Rate Calculations &amp; PHF'!$AX$6:$AZ$11,3,TRUE))-1.05)/3)</f>
        <v>116.98984674329503</v>
      </c>
      <c r="J12" s="87">
        <f>L12+K12</f>
        <v>1447.4295354162196</v>
      </c>
      <c r="K12" s="87">
        <f>'FREEVAL INPUT 2023 Hourly'!L14*(1-(1/(VLOOKUP('FREEVAL INPUT 2020 Hourly'!L14,'Rate Calculations &amp; PHF'!$AX$6:$AZ$11,3,TRUE))-1.05)/3)</f>
        <v>578.08942652329756</v>
      </c>
      <c r="L12" s="87">
        <f>N12-M12</f>
        <v>869.34010889292199</v>
      </c>
      <c r="M12" s="87">
        <f>'FREEVAL INPUT 2023 Hourly'!N14*(1-(1/(VLOOKUP('FREEVAL INPUT 2020 Hourly'!N14,'Rate Calculations &amp; PHF'!$AX$6:$AZ$11,3,TRUE))-1.05)/3)</f>
        <v>182.73620689655175</v>
      </c>
      <c r="N12" s="87">
        <f>'FREEVAL INPUT 2023 Hourly'!O14*(1-(1/(VLOOKUP('FREEVAL INPUT 2020 Hourly'!O14,'Rate Calculations &amp; PHF'!$AX$6:$AZ$11,3,TRUE))-1.05)/3)</f>
        <v>1052.0763157894737</v>
      </c>
      <c r="O12" s="87">
        <f>'FREEVAL INPUT 2023 Hourly'!P14*(1-(1/(VLOOKUP('FREEVAL INPUT 2020 Hourly'!P14,'Rate Calculations &amp; PHF'!$AX$6:$AZ$11,3,TRUE))-1.05)/3)</f>
        <v>66.387550200803219</v>
      </c>
      <c r="P12" s="87">
        <f>N12-O12</f>
        <v>985.68876558867055</v>
      </c>
      <c r="Q12" s="87">
        <f>'FREEVAL INPUT 2023 Hourly'!R14*(1-(1/(VLOOKUP('FREEVAL INPUT 2020 Hourly'!R14,'Rate Calculations &amp; PHF'!$AX$6:$AZ$11,3,TRUE))-1.05)/3)</f>
        <v>183.70306513409963</v>
      </c>
      <c r="R12" s="87">
        <f>P12+Q12</f>
        <v>1169.3918307227702</v>
      </c>
    </row>
    <row r="13" spans="1:18" s="78" customFormat="1" x14ac:dyDescent="0.25">
      <c r="A13" s="85"/>
      <c r="B13" s="86">
        <v>0.312500000000001</v>
      </c>
      <c r="C13" s="87">
        <f t="shared" si="0"/>
        <v>1974.4337128385919</v>
      </c>
      <c r="D13" s="87">
        <f>('FREEVAL INPUT 2023 Hourly'!E14*(1/((VLOOKUP('FREEVAL INPUT 2020 Hourly'!E14,'Rate Calculations &amp; PHF'!$AX$6:$AZ$11,3,TRUE)))))</f>
        <v>72.289156626506028</v>
      </c>
      <c r="E13" s="90">
        <f t="shared" si="1"/>
        <v>2046.7228694650978</v>
      </c>
      <c r="F13" s="87">
        <f>H13+G13</f>
        <v>2046.7228694650978</v>
      </c>
      <c r="G13" s="87">
        <f>('FREEVAL INPUT 2023 Hourly'!H14*(1/((VLOOKUP('FREEVAL INPUT 2020 Hourly'!H14,'Rate Calculations &amp; PHF'!$AX$6:$AZ$11,3,TRUE)))))</f>
        <v>667.74193548387098</v>
      </c>
      <c r="H13" s="87">
        <f>J13-I13</f>
        <v>1378.9809339812268</v>
      </c>
      <c r="I13" s="87">
        <f>('FREEVAL INPUT 2023 Hourly'!J14*(1/((VLOOKUP('FREEVAL INPUT 2020 Hourly'!J14,'Rate Calculations &amp; PHF'!$AX$6:$AZ$11,3,TRUE)))))</f>
        <v>139.08045977011494</v>
      </c>
      <c r="J13" s="87">
        <f>L13+K13</f>
        <v>1518.0613937513417</v>
      </c>
      <c r="K13" s="87">
        <f>('FREEVAL INPUT 2023 Hourly'!L14*(1/((VLOOKUP('FREEVAL INPUT 2020 Hourly'!L14,'Rate Calculations &amp; PHF'!$AX$6:$AZ$11,3,TRUE)))))</f>
        <v>626.88172043010752</v>
      </c>
      <c r="L13" s="87">
        <f>N13-M13</f>
        <v>891.17967332123408</v>
      </c>
      <c r="M13" s="87">
        <f>('FREEVAL INPUT 2023 Hourly'!N14*(1/((VLOOKUP('FREEVAL INPUT 2020 Hourly'!N14,'Rate Calculations &amp; PHF'!$AX$6:$AZ$11,3,TRUE)))))</f>
        <v>217.24137931034483</v>
      </c>
      <c r="N13" s="87">
        <f>('FREEVAL INPUT 2023 Hourly'!O14*(1/((VLOOKUP('FREEVAL INPUT 2020 Hourly'!O14,'Rate Calculations &amp; PHF'!$AX$6:$AZ$11,3,TRUE)))))</f>
        <v>1108.421052631579</v>
      </c>
      <c r="O13" s="87">
        <f>('FREEVAL INPUT 2023 Hourly'!P14*(1/((VLOOKUP('FREEVAL INPUT 2020 Hourly'!P14,'Rate Calculations &amp; PHF'!$AX$6:$AZ$11,3,TRUE)))))</f>
        <v>84.337349397590373</v>
      </c>
      <c r="P13" s="87">
        <f>N13-O13</f>
        <v>1024.0837032339887</v>
      </c>
      <c r="Q13" s="87">
        <f>('FREEVAL INPUT 2023 Hourly'!R14*(1/((VLOOKUP('FREEVAL INPUT 2020 Hourly'!R14,'Rate Calculations &amp; PHF'!$AX$6:$AZ$11,3,TRUE)))))</f>
        <v>218.39080459770113</v>
      </c>
      <c r="R13" s="87">
        <f>P13+Q13</f>
        <v>1242.4745078316898</v>
      </c>
    </row>
    <row r="14" spans="1:18" s="78" customFormat="1" x14ac:dyDescent="0.25">
      <c r="A14" s="85"/>
      <c r="B14" s="86">
        <v>0.32291666666666702</v>
      </c>
      <c r="C14" s="87">
        <f t="shared" si="0"/>
        <v>1889.305429053803</v>
      </c>
      <c r="D14" s="87">
        <f>'FREEVAL INPUT 2023 Hourly'!E14*(1-(1/(VLOOKUP('FREEVAL INPUT 2020 Hourly'!E14,'Rate Calculations &amp; PHF'!$AX$6:$AZ$11,3,TRUE))-1.05)/3)</f>
        <v>56.903614457831324</v>
      </c>
      <c r="E14" s="90">
        <f t="shared" si="1"/>
        <v>1946.2090435116343</v>
      </c>
      <c r="F14" s="87">
        <f>H14+G14</f>
        <v>1946.2090435116343</v>
      </c>
      <c r="G14" s="87">
        <f>'FREEVAL INPUT 2023 Hourly'!H14*(1-(1/(VLOOKUP('FREEVAL INPUT 2020 Hourly'!H14,'Rate Calculations &amp; PHF'!$AX$6:$AZ$11,3,TRUE))-1.05)/3)</f>
        <v>615.76935483870966</v>
      </c>
      <c r="H14" s="87">
        <f>J14-I14</f>
        <v>1330.4396886729246</v>
      </c>
      <c r="I14" s="87">
        <f>'FREEVAL INPUT 2023 Hourly'!J14*(1-(1/(VLOOKUP('FREEVAL INPUT 2020 Hourly'!J14,'Rate Calculations &amp; PHF'!$AX$6:$AZ$11,3,TRUE))-1.05)/3)</f>
        <v>116.98984674329503</v>
      </c>
      <c r="J14" s="87">
        <f>L14+K14</f>
        <v>1447.4295354162196</v>
      </c>
      <c r="K14" s="87">
        <f>'FREEVAL INPUT 2023 Hourly'!L14*(1-(1/(VLOOKUP('FREEVAL INPUT 2020 Hourly'!L14,'Rate Calculations &amp; PHF'!$AX$6:$AZ$11,3,TRUE))-1.05)/3)</f>
        <v>578.08942652329756</v>
      </c>
      <c r="L14" s="87">
        <f>N14-M14</f>
        <v>869.34010889292199</v>
      </c>
      <c r="M14" s="87">
        <f>'FREEVAL INPUT 2023 Hourly'!N14*(1-(1/(VLOOKUP('FREEVAL INPUT 2020 Hourly'!N14,'Rate Calculations &amp; PHF'!$AX$6:$AZ$11,3,TRUE))-1.05)/3)</f>
        <v>182.73620689655175</v>
      </c>
      <c r="N14" s="87">
        <f>'FREEVAL INPUT 2023 Hourly'!O14*(1-(1/(VLOOKUP('FREEVAL INPUT 2020 Hourly'!O14,'Rate Calculations &amp; PHF'!$AX$6:$AZ$11,3,TRUE))-1.05)/3)</f>
        <v>1052.0763157894737</v>
      </c>
      <c r="O14" s="87">
        <f>'FREEVAL INPUT 2023 Hourly'!P14*(1-(1/(VLOOKUP('FREEVAL INPUT 2020 Hourly'!P14,'Rate Calculations &amp; PHF'!$AX$6:$AZ$11,3,TRUE))-1.05)/3)</f>
        <v>66.387550200803219</v>
      </c>
      <c r="P14" s="87">
        <f>N14-O14</f>
        <v>985.68876558867055</v>
      </c>
      <c r="Q14" s="87">
        <f>'FREEVAL INPUT 2023 Hourly'!R14*(1-(1/(VLOOKUP('FREEVAL INPUT 2020 Hourly'!R14,'Rate Calculations &amp; PHF'!$AX$6:$AZ$11,3,TRUE))-1.05)/3)</f>
        <v>183.70306513409963</v>
      </c>
      <c r="R14" s="87">
        <f>P14+Q14</f>
        <v>1169.3918307227702</v>
      </c>
    </row>
    <row r="15" spans="1:18" x14ac:dyDescent="0.25">
      <c r="A15" s="38"/>
      <c r="B15" s="20">
        <v>0.33333333333333398</v>
      </c>
      <c r="C15" s="21">
        <f>'FREEVAL INPUT 2023 Hourly'!D$15*'Rate Calculations &amp; PHF'!$BC6</f>
        <v>2105.420985552887</v>
      </c>
      <c r="D15" s="21">
        <f>'FREEVAL INPUT 2023 Hourly'!E$15*'Rate Calculations &amp; PHF'!$BC6</f>
        <v>67.058988007725119</v>
      </c>
      <c r="E15" s="21">
        <f>'FREEVAL INPUT 2023 Hourly'!F$15*'Rate Calculations &amp; PHF'!$BC6</f>
        <v>2172.4799735606121</v>
      </c>
      <c r="F15" s="21">
        <f>'FREEVAL INPUT 2023 Hourly'!G$15*'Rate Calculations &amp; PHF'!$BC6</f>
        <v>2172.4799735606121</v>
      </c>
      <c r="G15" s="21">
        <f>'FREEVAL INPUT 2023 Hourly'!H$15*'Rate Calculations &amp; PHF'!$BC6</f>
        <v>701.80699518429572</v>
      </c>
      <c r="H15" s="21">
        <f>'FREEVAL INPUT 2023 Hourly'!I$15*'Rate Calculations &amp; PHF'!$BC6</f>
        <v>1470.6729783763162</v>
      </c>
      <c r="I15" s="21">
        <f>'FREEVAL INPUT 2023 Hourly'!J$15*'Rate Calculations &amp; PHF'!$BC6</f>
        <v>134.11797601545024</v>
      </c>
      <c r="J15" s="21">
        <f>'FREEVAL INPUT 2023 Hourly'!K$15*'Rate Calculations &amp; PHF'!$BC6</f>
        <v>1604.7909543917667</v>
      </c>
      <c r="K15" s="21">
        <f>'FREEVAL INPUT 2023 Hourly'!L$15*'Rate Calculations &amp; PHF'!$BC6</f>
        <v>706.43175297793198</v>
      </c>
      <c r="L15" s="21">
        <f>'FREEVAL INPUT 2023 Hourly'!M$15*'Rate Calculations &amp; PHF'!$BC6</f>
        <v>898.35920141383474</v>
      </c>
      <c r="M15" s="21">
        <f>'FREEVAL INPUT 2023 Hourly'!N$15*'Rate Calculations &amp; PHF'!$BC6</f>
        <v>175.74079615817618</v>
      </c>
      <c r="N15" s="21">
        <f>'FREEVAL INPUT 2023 Hourly'!O$15*'Rate Calculations &amp; PHF'!$BC6</f>
        <v>1074.0999975720108</v>
      </c>
      <c r="O15" s="21">
        <f>'FREEVAL INPUT 2023 Hourly'!P$15*'Rate Calculations &amp; PHF'!$BC6</f>
        <v>63.590419662497951</v>
      </c>
      <c r="P15" s="21">
        <f>'FREEVAL INPUT 2023 Hourly'!Q$15*'Rate Calculations &amp; PHF'!$BC6</f>
        <v>1010.5095779095129</v>
      </c>
      <c r="Q15" s="21">
        <f>'FREEVAL INPUT 2023 Hourly'!R$15*'Rate Calculations &amp; PHF'!$BC6</f>
        <v>95.963724217951452</v>
      </c>
      <c r="R15" s="21">
        <f>'FREEVAL INPUT 2023 Hourly'!S$15*'Rate Calculations &amp; PHF'!$BC6</f>
        <v>1106.4733021274644</v>
      </c>
    </row>
    <row r="16" spans="1:18" x14ac:dyDescent="0.25">
      <c r="A16" s="38"/>
      <c r="B16" s="20">
        <v>0.343750000000001</v>
      </c>
      <c r="C16" s="21">
        <f>'FREEVAL INPUT 2023 Hourly'!D$15*'Rate Calculations &amp; PHF'!$BC7</f>
        <v>2005.1628433837018</v>
      </c>
      <c r="D16" s="21">
        <f>'FREEVAL INPUT 2023 Hourly'!E$15*'Rate Calculations &amp; PHF'!$BC7</f>
        <v>63.865702864500108</v>
      </c>
      <c r="E16" s="21">
        <f>'FREEVAL INPUT 2023 Hourly'!F$15*'Rate Calculations &amp; PHF'!$BC7</f>
        <v>2069.028546248202</v>
      </c>
      <c r="F16" s="21">
        <f>'FREEVAL INPUT 2023 Hourly'!G$15*'Rate Calculations &amp; PHF'!$BC7</f>
        <v>2069.028546248202</v>
      </c>
      <c r="G16" s="21">
        <f>'FREEVAL INPUT 2023 Hourly'!H$15*'Rate Calculations &amp; PHF'!$BC7</f>
        <v>668.38761446123397</v>
      </c>
      <c r="H16" s="21">
        <f>'FREEVAL INPUT 2023 Hourly'!I$15*'Rate Calculations &amp; PHF'!$BC7</f>
        <v>1400.6409317869677</v>
      </c>
      <c r="I16" s="21">
        <f>'FREEVAL INPUT 2023 Hourly'!J$15*'Rate Calculations &amp; PHF'!$BC7</f>
        <v>127.73140572900022</v>
      </c>
      <c r="J16" s="21">
        <f>'FREEVAL INPUT 2023 Hourly'!K$15*'Rate Calculations &amp; PHF'!$BC7</f>
        <v>1528.3723375159682</v>
      </c>
      <c r="K16" s="21">
        <f>'FREEVAL INPUT 2023 Hourly'!L$15*'Rate Calculations &amp; PHF'!$BC7</f>
        <v>672.79214569326848</v>
      </c>
      <c r="L16" s="21">
        <f>'FREEVAL INPUT 2023 Hourly'!M$15*'Rate Calculations &amp; PHF'!$BC7</f>
        <v>855.5801918226997</v>
      </c>
      <c r="M16" s="21">
        <f>'FREEVAL INPUT 2023 Hourly'!N$15*'Rate Calculations &amp; PHF'!$BC7</f>
        <v>167.37218681731065</v>
      </c>
      <c r="N16" s="21">
        <f>'FREEVAL INPUT 2023 Hourly'!O$15*'Rate Calculations &amp; PHF'!$BC7</f>
        <v>1022.9523786400104</v>
      </c>
      <c r="O16" s="21">
        <f>'FREEVAL INPUT 2023 Hourly'!P$15*'Rate Calculations &amp; PHF'!$BC7</f>
        <v>60.562304440474236</v>
      </c>
      <c r="P16" s="21">
        <f>'FREEVAL INPUT 2023 Hourly'!Q$15*'Rate Calculations &amp; PHF'!$BC7</f>
        <v>962.39007419953612</v>
      </c>
      <c r="Q16" s="21">
        <f>'FREEVAL INPUT 2023 Hourly'!R$15*'Rate Calculations &amp; PHF'!$BC7</f>
        <v>91.394023064715668</v>
      </c>
      <c r="R16" s="21">
        <f>'FREEVAL INPUT 2023 Hourly'!S$15*'Rate Calculations &amp; PHF'!$BC7</f>
        <v>1053.7840972642518</v>
      </c>
    </row>
    <row r="17" spans="1:18" x14ac:dyDescent="0.25">
      <c r="A17" s="38"/>
      <c r="B17" s="20">
        <v>0.35416666666666702</v>
      </c>
      <c r="C17" s="21">
        <f>'FREEVAL INPUT 2023 Hourly'!D$15*'Rate Calculations &amp; PHF'!$BC8</f>
        <v>1955.0337722991092</v>
      </c>
      <c r="D17" s="21">
        <f>'FREEVAL INPUT 2023 Hourly'!E$15*'Rate Calculations &amp; PHF'!$BC8</f>
        <v>62.269060292887602</v>
      </c>
      <c r="E17" s="21">
        <f>'FREEVAL INPUT 2023 Hourly'!F$15*'Rate Calculations &amp; PHF'!$BC8</f>
        <v>2017.302832591997</v>
      </c>
      <c r="F17" s="21">
        <f>'FREEVAL INPUT 2023 Hourly'!G$15*'Rate Calculations &amp; PHF'!$BC8</f>
        <v>2017.302832591997</v>
      </c>
      <c r="G17" s="21">
        <f>'FREEVAL INPUT 2023 Hourly'!H$15*'Rate Calculations &amp; PHF'!$BC8</f>
        <v>651.67792409970309</v>
      </c>
      <c r="H17" s="21">
        <f>'FREEVAL INPUT 2023 Hourly'!I$15*'Rate Calculations &amp; PHF'!$BC8</f>
        <v>1365.6249084922936</v>
      </c>
      <c r="I17" s="21">
        <f>'FREEVAL INPUT 2023 Hourly'!J$15*'Rate Calculations &amp; PHF'!$BC8</f>
        <v>124.5381205857752</v>
      </c>
      <c r="J17" s="21">
        <f>'FREEVAL INPUT 2023 Hourly'!K$15*'Rate Calculations &amp; PHF'!$BC8</f>
        <v>1490.163029078069</v>
      </c>
      <c r="K17" s="21">
        <f>'FREEVAL INPUT 2023 Hourly'!L$15*'Rate Calculations &amp; PHF'!$BC8</f>
        <v>655.97234205093673</v>
      </c>
      <c r="L17" s="21">
        <f>'FREEVAL INPUT 2023 Hourly'!M$15*'Rate Calculations &amp; PHF'!$BC8</f>
        <v>834.19068702713218</v>
      </c>
      <c r="M17" s="21">
        <f>'FREEVAL INPUT 2023 Hourly'!N$15*'Rate Calculations &amp; PHF'!$BC8</f>
        <v>163.18788214687788</v>
      </c>
      <c r="N17" s="21">
        <f>'FREEVAL INPUT 2023 Hourly'!O$15*'Rate Calculations &amp; PHF'!$BC8</f>
        <v>997.37856917401007</v>
      </c>
      <c r="O17" s="21">
        <f>'FREEVAL INPUT 2023 Hourly'!P$15*'Rate Calculations &amp; PHF'!$BC8</f>
        <v>59.048246829462379</v>
      </c>
      <c r="P17" s="21">
        <f>'FREEVAL INPUT 2023 Hourly'!Q$15*'Rate Calculations &amp; PHF'!$BC8</f>
        <v>938.33032234454765</v>
      </c>
      <c r="Q17" s="21">
        <f>'FREEVAL INPUT 2023 Hourly'!R$15*'Rate Calculations &amp; PHF'!$BC8</f>
        <v>89.109172488097769</v>
      </c>
      <c r="R17" s="21">
        <f>'FREEVAL INPUT 2023 Hourly'!S$15*'Rate Calculations &amp; PHF'!$BC8</f>
        <v>1027.4394948326456</v>
      </c>
    </row>
    <row r="18" spans="1:18" x14ac:dyDescent="0.25">
      <c r="A18" s="38"/>
      <c r="B18" s="20">
        <v>0.36458333333333398</v>
      </c>
      <c r="C18" s="21">
        <f>'FREEVAL INPUT 2023 Hourly'!D$15*'Rate Calculations &amp; PHF'!$BC9</f>
        <v>1955.0337722991092</v>
      </c>
      <c r="D18" s="21">
        <f>'FREEVAL INPUT 2023 Hourly'!E$15*'Rate Calculations &amp; PHF'!$BC9</f>
        <v>62.269060292887602</v>
      </c>
      <c r="E18" s="21">
        <f>'FREEVAL INPUT 2023 Hourly'!F$15*'Rate Calculations &amp; PHF'!$BC9</f>
        <v>2017.302832591997</v>
      </c>
      <c r="F18" s="21">
        <f>'FREEVAL INPUT 2023 Hourly'!G$15*'Rate Calculations &amp; PHF'!$BC9</f>
        <v>2017.302832591997</v>
      </c>
      <c r="G18" s="21">
        <f>'FREEVAL INPUT 2023 Hourly'!H$15*'Rate Calculations &amp; PHF'!$BC9</f>
        <v>651.67792409970309</v>
      </c>
      <c r="H18" s="21">
        <f>'FREEVAL INPUT 2023 Hourly'!I$15*'Rate Calculations &amp; PHF'!$BC9</f>
        <v>1365.6249084922936</v>
      </c>
      <c r="I18" s="21">
        <f>'FREEVAL INPUT 2023 Hourly'!J$15*'Rate Calculations &amp; PHF'!$BC9</f>
        <v>124.5381205857752</v>
      </c>
      <c r="J18" s="21">
        <f>'FREEVAL INPUT 2023 Hourly'!K$15*'Rate Calculations &amp; PHF'!$BC9</f>
        <v>1490.163029078069</v>
      </c>
      <c r="K18" s="21">
        <f>'FREEVAL INPUT 2023 Hourly'!L$15*'Rate Calculations &amp; PHF'!$BC9</f>
        <v>655.97234205093673</v>
      </c>
      <c r="L18" s="21">
        <f>'FREEVAL INPUT 2023 Hourly'!M$15*'Rate Calculations &amp; PHF'!$BC9</f>
        <v>834.19068702713218</v>
      </c>
      <c r="M18" s="21">
        <f>'FREEVAL INPUT 2023 Hourly'!N$15*'Rate Calculations &amp; PHF'!$BC9</f>
        <v>163.18788214687788</v>
      </c>
      <c r="N18" s="21">
        <f>'FREEVAL INPUT 2023 Hourly'!O$15*'Rate Calculations &amp; PHF'!$BC9</f>
        <v>997.37856917401007</v>
      </c>
      <c r="O18" s="21">
        <f>'FREEVAL INPUT 2023 Hourly'!P$15*'Rate Calculations &amp; PHF'!$BC9</f>
        <v>59.048246829462379</v>
      </c>
      <c r="P18" s="21">
        <f>'FREEVAL INPUT 2023 Hourly'!Q$15*'Rate Calculations &amp; PHF'!$BC9</f>
        <v>938.33032234454765</v>
      </c>
      <c r="Q18" s="21">
        <f>'FREEVAL INPUT 2023 Hourly'!R$15*'Rate Calculations &amp; PHF'!$BC9</f>
        <v>89.109172488097769</v>
      </c>
      <c r="R18" s="21">
        <f>'FREEVAL INPUT 2023 Hourly'!S$15*'Rate Calculations &amp; PHF'!$BC9</f>
        <v>1027.4394948326456</v>
      </c>
    </row>
    <row r="19" spans="1:18" x14ac:dyDescent="0.25">
      <c r="A19" s="38"/>
      <c r="B19" s="20">
        <v>0.625000000000002</v>
      </c>
      <c r="C19" s="21">
        <f>'FREEVAL INPUT 2023 Hourly'!D$22*'Rate Calculations &amp; PHF'!$BB6</f>
        <v>4053.9305459645452</v>
      </c>
      <c r="D19" s="21">
        <f>'FREEVAL INPUT 2023 Hourly'!E$22*'Rate Calculations &amp; PHF'!$BB6</f>
        <v>105.21323980522388</v>
      </c>
      <c r="E19" s="21">
        <f>'FREEVAL INPUT 2023 Hourly'!F$22*'Rate Calculations &amp; PHF'!$BB6</f>
        <v>4159.1437857697692</v>
      </c>
      <c r="F19" s="21">
        <f>'FREEVAL INPUT 2023 Hourly'!G$22*'Rate Calculations &amp; PHF'!$BB6</f>
        <v>4159.1437857697692</v>
      </c>
      <c r="G19" s="21">
        <f>'FREEVAL INPUT 2023 Hourly'!H$22*'Rate Calculations &amp; PHF'!$BB6</f>
        <v>1154.1248243940377</v>
      </c>
      <c r="H19" s="21">
        <f>'FREEVAL INPUT 2023 Hourly'!I$22*'Rate Calculations &amp; PHF'!$BB6</f>
        <v>3005.0189613757311</v>
      </c>
      <c r="I19" s="21">
        <f>'FREEVAL INPUT 2023 Hourly'!J$22*'Rate Calculations &amp; PHF'!$BB6</f>
        <v>190.02799434208802</v>
      </c>
      <c r="J19" s="21">
        <f>'FREEVAL INPUT 2023 Hourly'!K$22*'Rate Calculations &amp; PHF'!$BB6</f>
        <v>3195.0469557178194</v>
      </c>
      <c r="K19" s="21">
        <f>'FREEVAL INPUT 2023 Hourly'!L$22*'Rate Calculations &amp; PHF'!$BB6</f>
        <v>1304.4294526872145</v>
      </c>
      <c r="L19" s="21">
        <f>'FREEVAL INPUT 2023 Hourly'!M$22*'Rate Calculations &amp; PHF'!$BB6</f>
        <v>1890.6175030306047</v>
      </c>
      <c r="M19" s="21">
        <f>'FREEVAL INPUT 2023 Hourly'!N$22*'Rate Calculations &amp; PHF'!$BB6</f>
        <v>352.14227200115749</v>
      </c>
      <c r="N19" s="21">
        <f>'FREEVAL INPUT 2023 Hourly'!O$22*'Rate Calculations &amp; PHF'!$BB6</f>
        <v>2242.7597750317623</v>
      </c>
      <c r="O19" s="21">
        <f>'FREEVAL INPUT 2023 Hourly'!P$22*'Rate Calculations &amp; PHF'!$BB6</f>
        <v>164.26148663468629</v>
      </c>
      <c r="P19" s="21">
        <f>'FREEVAL INPUT 2023 Hourly'!Q$22*'Rate Calculations &amp; PHF'!$BB6</f>
        <v>2078.4982883970761</v>
      </c>
      <c r="Q19" s="21">
        <f>'FREEVAL INPUT 2023 Hourly'!R$22*'Rate Calculations &amp; PHF'!$BB6</f>
        <v>172.85032253715352</v>
      </c>
      <c r="R19" s="21">
        <f>'FREEVAL INPUT 2023 Hourly'!S$22*'Rate Calculations &amp; PHF'!$BB6</f>
        <v>2251.3486109342293</v>
      </c>
    </row>
    <row r="20" spans="1:18" x14ac:dyDescent="0.25">
      <c r="A20" s="38"/>
      <c r="B20" s="20">
        <v>0.63541666666666796</v>
      </c>
      <c r="C20" s="21">
        <f>'FREEVAL INPUT 2023 Hourly'!D$22*'Rate Calculations &amp; PHF'!$BB7</f>
        <v>4053.9305459645452</v>
      </c>
      <c r="D20" s="21">
        <f>'FREEVAL INPUT 2023 Hourly'!E$22*'Rate Calculations &amp; PHF'!$BB7</f>
        <v>105.21323980522388</v>
      </c>
      <c r="E20" s="21">
        <f>'FREEVAL INPUT 2023 Hourly'!F$22*'Rate Calculations &amp; PHF'!$BB7</f>
        <v>4159.1437857697692</v>
      </c>
      <c r="F20" s="21">
        <f>'FREEVAL INPUT 2023 Hourly'!G$22*'Rate Calculations &amp; PHF'!$BB7</f>
        <v>4159.1437857697692</v>
      </c>
      <c r="G20" s="21">
        <f>'FREEVAL INPUT 2023 Hourly'!H$22*'Rate Calculations &amp; PHF'!$BB7</f>
        <v>1154.1248243940377</v>
      </c>
      <c r="H20" s="21">
        <f>'FREEVAL INPUT 2023 Hourly'!I$22*'Rate Calculations &amp; PHF'!$BB7</f>
        <v>3005.0189613757311</v>
      </c>
      <c r="I20" s="21">
        <f>'FREEVAL INPUT 2023 Hourly'!J$22*'Rate Calculations &amp; PHF'!$BB7</f>
        <v>190.02799434208802</v>
      </c>
      <c r="J20" s="21">
        <f>'FREEVAL INPUT 2023 Hourly'!K$22*'Rate Calculations &amp; PHF'!$BB7</f>
        <v>3195.0469557178194</v>
      </c>
      <c r="K20" s="21">
        <f>'FREEVAL INPUT 2023 Hourly'!L$22*'Rate Calculations &amp; PHF'!$BB7</f>
        <v>1304.4294526872145</v>
      </c>
      <c r="L20" s="21">
        <f>'FREEVAL INPUT 2023 Hourly'!M$22*'Rate Calculations &amp; PHF'!$BB7</f>
        <v>1890.6175030306047</v>
      </c>
      <c r="M20" s="21">
        <f>'FREEVAL INPUT 2023 Hourly'!N$22*'Rate Calculations &amp; PHF'!$BB7</f>
        <v>352.14227200115749</v>
      </c>
      <c r="N20" s="21">
        <f>'FREEVAL INPUT 2023 Hourly'!O$22*'Rate Calculations &amp; PHF'!$BB7</f>
        <v>2242.7597750317623</v>
      </c>
      <c r="O20" s="21">
        <f>'FREEVAL INPUT 2023 Hourly'!P$22*'Rate Calculations &amp; PHF'!$BB7</f>
        <v>164.26148663468629</v>
      </c>
      <c r="P20" s="21">
        <f>'FREEVAL INPUT 2023 Hourly'!Q$22*'Rate Calculations &amp; PHF'!$BB7</f>
        <v>2078.4982883970761</v>
      </c>
      <c r="Q20" s="21">
        <f>'FREEVAL INPUT 2023 Hourly'!R$22*'Rate Calculations &amp; PHF'!$BB7</f>
        <v>172.85032253715352</v>
      </c>
      <c r="R20" s="21">
        <f>'FREEVAL INPUT 2023 Hourly'!S$22*'Rate Calculations &amp; PHF'!$BB7</f>
        <v>2251.3486109342293</v>
      </c>
    </row>
    <row r="21" spans="1:18" x14ac:dyDescent="0.25">
      <c r="A21" s="38"/>
      <c r="B21" s="20">
        <v>0.64583333333333504</v>
      </c>
      <c r="C21" s="21">
        <f>'FREEVAL INPUT 2023 Hourly'!D$22*'Rate Calculations &amp; PHF'!$BB8</f>
        <v>4157.8774830405591</v>
      </c>
      <c r="D21" s="21">
        <f>'FREEVAL INPUT 2023 Hourly'!E$22*'Rate Calculations &amp; PHF'!$BB8</f>
        <v>107.91101518484501</v>
      </c>
      <c r="E21" s="21">
        <f>'FREEVAL INPUT 2023 Hourly'!F$22*'Rate Calculations &amp; PHF'!$BB8</f>
        <v>4265.7884982254045</v>
      </c>
      <c r="F21" s="21">
        <f>'FREEVAL INPUT 2023 Hourly'!G$22*'Rate Calculations &amp; PHF'!$BB8</f>
        <v>4265.7884982254045</v>
      </c>
      <c r="G21" s="21">
        <f>'FREEVAL INPUT 2023 Hourly'!H$22*'Rate Calculations &amp; PHF'!$BB8</f>
        <v>1183.7177686092693</v>
      </c>
      <c r="H21" s="21">
        <f>'FREEVAL INPUT 2023 Hourly'!I$22*'Rate Calculations &amp; PHF'!$BB8</f>
        <v>3082.0707296161345</v>
      </c>
      <c r="I21" s="21">
        <f>'FREEVAL INPUT 2023 Hourly'!J$22*'Rate Calculations &amp; PHF'!$BB8</f>
        <v>194.90050701752619</v>
      </c>
      <c r="J21" s="21">
        <f>'FREEVAL INPUT 2023 Hourly'!K$22*'Rate Calculations &amp; PHF'!$BB8</f>
        <v>3276.9712366336612</v>
      </c>
      <c r="K21" s="21">
        <f>'FREEVAL INPUT 2023 Hourly'!L$22*'Rate Calculations &amp; PHF'!$BB8</f>
        <v>1337.8763617304764</v>
      </c>
      <c r="L21" s="21">
        <f>'FREEVAL INPUT 2023 Hourly'!M$22*'Rate Calculations &amp; PHF'!$BB8</f>
        <v>1939.0948749031843</v>
      </c>
      <c r="M21" s="21">
        <f>'FREEVAL INPUT 2023 Hourly'!N$22*'Rate Calculations &amp; PHF'!$BB8</f>
        <v>361.17156102682821</v>
      </c>
      <c r="N21" s="21">
        <f>'FREEVAL INPUT 2023 Hourly'!O$22*'Rate Calculations &amp; PHF'!$BB8</f>
        <v>2300.2664359300124</v>
      </c>
      <c r="O21" s="21">
        <f>'FREEVAL INPUT 2023 Hourly'!P$22*'Rate Calculations &amp; PHF'!$BB8</f>
        <v>168.47331962531928</v>
      </c>
      <c r="P21" s="21">
        <f>'FREEVAL INPUT 2023 Hourly'!Q$22*'Rate Calculations &amp; PHF'!$BB8</f>
        <v>2131.7931163046933</v>
      </c>
      <c r="Q21" s="21">
        <f>'FREEVAL INPUT 2023 Hourly'!R$22*'Rate Calculations &amp; PHF'!$BB8</f>
        <v>177.28238208938822</v>
      </c>
      <c r="R21" s="21">
        <f>'FREEVAL INPUT 2023 Hourly'!S$22*'Rate Calculations &amp; PHF'!$BB8</f>
        <v>2309.0754983940815</v>
      </c>
    </row>
    <row r="22" spans="1:18" x14ac:dyDescent="0.25">
      <c r="A22" s="38"/>
      <c r="B22" s="20">
        <v>0.656250000000002</v>
      </c>
      <c r="C22" s="21">
        <f>'FREEVAL INPUT 2023 Hourly'!D$22*'Rate Calculations &amp; PHF'!$BB9</f>
        <v>4365.7713571925869</v>
      </c>
      <c r="D22" s="21">
        <f>'FREEVAL INPUT 2023 Hourly'!E$22*'Rate Calculations &amp; PHF'!$BB9</f>
        <v>113.30656594408727</v>
      </c>
      <c r="E22" s="21">
        <f>'FREEVAL INPUT 2023 Hourly'!F$22*'Rate Calculations &amp; PHF'!$BB9</f>
        <v>4479.0779231366751</v>
      </c>
      <c r="F22" s="21">
        <f>'FREEVAL INPUT 2023 Hourly'!G$22*'Rate Calculations &amp; PHF'!$BB9</f>
        <v>4479.0779231366751</v>
      </c>
      <c r="G22" s="21">
        <f>'FREEVAL INPUT 2023 Hourly'!H$22*'Rate Calculations &amp; PHF'!$BB9</f>
        <v>1242.9036570397329</v>
      </c>
      <c r="H22" s="21">
        <f>'FREEVAL INPUT 2023 Hourly'!I$22*'Rate Calculations &amp; PHF'!$BB9</f>
        <v>3236.1742660969412</v>
      </c>
      <c r="I22" s="21">
        <f>'FREEVAL INPUT 2023 Hourly'!J$22*'Rate Calculations &amp; PHF'!$BB9</f>
        <v>204.64553236840251</v>
      </c>
      <c r="J22" s="21">
        <f>'FREEVAL INPUT 2023 Hourly'!K$22*'Rate Calculations &amp; PHF'!$BB9</f>
        <v>3440.8197984653443</v>
      </c>
      <c r="K22" s="21">
        <f>'FREEVAL INPUT 2023 Hourly'!L$22*'Rate Calculations &amp; PHF'!$BB9</f>
        <v>1404.7701798170003</v>
      </c>
      <c r="L22" s="21">
        <f>'FREEVAL INPUT 2023 Hourly'!M$22*'Rate Calculations &amp; PHF'!$BB9</f>
        <v>2036.0496186483435</v>
      </c>
      <c r="M22" s="21">
        <f>'FREEVAL INPUT 2023 Hourly'!N$22*'Rate Calculations &amp; PHF'!$BB9</f>
        <v>379.23013907816966</v>
      </c>
      <c r="N22" s="21">
        <f>'FREEVAL INPUT 2023 Hourly'!O$22*'Rate Calculations &amp; PHF'!$BB9</f>
        <v>2415.2797577265133</v>
      </c>
      <c r="O22" s="21">
        <f>'FREEVAL INPUT 2023 Hourly'!P$22*'Rate Calculations &amp; PHF'!$BB9</f>
        <v>176.89698560658525</v>
      </c>
      <c r="P22" s="21">
        <f>'FREEVAL INPUT 2023 Hourly'!Q$22*'Rate Calculations &amp; PHF'!$BB9</f>
        <v>2238.3827721199282</v>
      </c>
      <c r="Q22" s="21">
        <f>'FREEVAL INPUT 2023 Hourly'!R$22*'Rate Calculations &amp; PHF'!$BB9</f>
        <v>186.14650119385763</v>
      </c>
      <c r="R22" s="21">
        <f>'FREEVAL INPUT 2023 Hourly'!S$22*'Rate Calculations &amp; PHF'!$BB9</f>
        <v>2424.5292733137858</v>
      </c>
    </row>
    <row r="23" spans="1:18" s="78" customFormat="1" x14ac:dyDescent="0.25">
      <c r="A23" s="85"/>
      <c r="B23" s="86">
        <v>0.66666666666666796</v>
      </c>
      <c r="C23" s="87">
        <f t="shared" ref="C23:C26" si="2">E23-D23</f>
        <v>3945.4803773551826</v>
      </c>
      <c r="D23" s="87">
        <f>'FREEVAL INPUT 2023 Hourly'!E23*(1-(1/(VLOOKUP('FREEVAL INPUT 2023 Hourly'!E23,'Rate Calculations &amp; PHF'!$AX$6:$AZ$11,3,TRUE))-0.9)/3)</f>
        <v>99.937547892720303</v>
      </c>
      <c r="E23" s="90">
        <f>H23+G23</f>
        <v>4045.417925247903</v>
      </c>
      <c r="F23" s="87">
        <f>H23+G23</f>
        <v>4045.417925247903</v>
      </c>
      <c r="G23" s="87">
        <f>'FREEVAL INPUT 2023 Hourly'!H23*(1-(1/(VLOOKUP('FREEVAL INPUT 2023 Hourly'!H23,'Rate Calculations &amp; PHF'!$AX$6:$AZ$11,3,TRUE))-0.9)/3)</f>
        <v>1089.5929824561404</v>
      </c>
      <c r="H23" s="87">
        <f>J23-I23</f>
        <v>2955.8249427917626</v>
      </c>
      <c r="I23" s="87">
        <f>'FREEVAL INPUT 2023 Hourly'!J23*(1-(1/(VLOOKUP('FREEVAL INPUT 2023 Hourly'!J23,'Rate Calculations &amp; PHF'!$AX$6:$AZ$11,3,TRUE))-0.9)/3)</f>
        <v>323.5</v>
      </c>
      <c r="J23" s="87">
        <f>L23+K23</f>
        <v>3279.3249427917626</v>
      </c>
      <c r="K23" s="87">
        <f>'FREEVAL INPUT 2023 Hourly'!L23*(1-(1/(VLOOKUP('FREEVAL INPUT 2023 Hourly'!L23,'Rate Calculations &amp; PHF'!$AX$6:$AZ$11,3,TRUE))-0.9)/3)</f>
        <v>1287.0105263157895</v>
      </c>
      <c r="L23" s="87">
        <f>N23-M23</f>
        <v>1992.3144164759728</v>
      </c>
      <c r="M23" s="87">
        <f>'FREEVAL INPUT 2023 Hourly'!N23*(1-(1/(VLOOKUP('FREEVAL INPUT 2023 Hourly'!N23,'Rate Calculations &amp; PHF'!$AX$6:$AZ$11,3,TRUE))-0.9)/3)</f>
        <v>397.57681159420292</v>
      </c>
      <c r="N23" s="87">
        <f>'FREEVAL INPUT 2023 Hourly'!O23*(1-(1/(VLOOKUP('FREEVAL INPUT 2023 Hourly'!O23,'Rate Calculations &amp; PHF'!$AX$6:$AZ$11,3,TRUE))-0.9)/3)</f>
        <v>2389.8912280701757</v>
      </c>
      <c r="O23" s="87">
        <f>'FREEVAL INPUT 2023 Hourly'!P23*(1-(1/(VLOOKUP('FREEVAL INPUT 2023 Hourly'!P23,'Rate Calculations &amp; PHF'!$AX$6:$AZ$11,3,TRUE))-0.9)/3)</f>
        <v>263.48840579710145</v>
      </c>
      <c r="P23" s="87">
        <f>N23-O23</f>
        <v>2126.402822273074</v>
      </c>
      <c r="Q23" s="87">
        <f>'FREEVAL INPUT 2023 Hourly'!R23*(1-(1/(VLOOKUP('FREEVAL INPUT 2023 Hourly'!R23,'Rate Calculations &amp; PHF'!$AX$6:$AZ$11,3,TRUE))-0.9)/3)</f>
        <v>255.98695652173913</v>
      </c>
      <c r="R23" s="87">
        <f>P23+Q23</f>
        <v>2382.3897787948131</v>
      </c>
    </row>
    <row r="24" spans="1:18" s="78" customFormat="1" x14ac:dyDescent="0.25">
      <c r="A24" s="85"/>
      <c r="B24" s="86">
        <v>0.67708333333333504</v>
      </c>
      <c r="C24" s="87">
        <f t="shared" si="2"/>
        <v>4152.6803773551819</v>
      </c>
      <c r="D24" s="87">
        <f>'FREEVAL INPUT 2023 Hourly'!E23*(1-(1/(VLOOKUP('FREEVAL INPUT 2023 Hourly'!E23,'Rate Calculations &amp; PHF'!$AX$6:$AZ$11,3,TRUE))-1.05)/3)</f>
        <v>105.38754789272032</v>
      </c>
      <c r="E24" s="90">
        <f t="shared" ref="E24:E26" si="3">H24+G24</f>
        <v>4258.0679252479022</v>
      </c>
      <c r="F24" s="87">
        <f>H24+G24</f>
        <v>4258.0679252479022</v>
      </c>
      <c r="G24" s="87">
        <f>'FREEVAL INPUT 2023 Hourly'!H23*(1-(1/(VLOOKUP('FREEVAL INPUT 2023 Hourly'!H23,'Rate Calculations &amp; PHF'!$AX$6:$AZ$11,3,TRUE))-1.05)/3)</f>
        <v>1146.9929824561405</v>
      </c>
      <c r="H24" s="87">
        <f>J24-I24</f>
        <v>3111.0749427917617</v>
      </c>
      <c r="I24" s="87">
        <f>'FREEVAL INPUT 2023 Hourly'!J23*(1-(1/(VLOOKUP('FREEVAL INPUT 2023 Hourly'!J23,'Rate Calculations &amp; PHF'!$AX$6:$AZ$11,3,TRUE))-1.05)/3)</f>
        <v>340.75</v>
      </c>
      <c r="J24" s="87">
        <f>L24+K24</f>
        <v>3451.8249427917617</v>
      </c>
      <c r="K24" s="87">
        <f>'FREEVAL INPUT 2023 Hourly'!L23*(1-(1/(VLOOKUP('FREEVAL INPUT 2023 Hourly'!L23,'Rate Calculations &amp; PHF'!$AX$6:$AZ$11,3,TRUE))-1.05)/3)</f>
        <v>1354.8105263157895</v>
      </c>
      <c r="L24" s="87">
        <f>N24-M24</f>
        <v>2097.0144164759722</v>
      </c>
      <c r="M24" s="87">
        <f>'FREEVAL INPUT 2023 Hourly'!N23*(1-(1/(VLOOKUP('FREEVAL INPUT 2023 Hourly'!N23,'Rate Calculations &amp; PHF'!$AX$6:$AZ$11,3,TRUE))-1.05)/3)</f>
        <v>418.77681159420291</v>
      </c>
      <c r="N24" s="87">
        <f>'FREEVAL INPUT 2023 Hourly'!O23*(1-(1/(VLOOKUP('FREEVAL INPUT 2023 Hourly'!O23,'Rate Calculations &amp; PHF'!$AX$6:$AZ$11,3,TRUE))-1.05)/3)</f>
        <v>2515.7912280701753</v>
      </c>
      <c r="O24" s="87">
        <f>'FREEVAL INPUT 2023 Hourly'!P23*(1-(1/(VLOOKUP('FREEVAL INPUT 2023 Hourly'!P23,'Rate Calculations &amp; PHF'!$AX$6:$AZ$11,3,TRUE))-1.05)/3)</f>
        <v>277.53840579710146</v>
      </c>
      <c r="P24" s="87">
        <f>N24-O24</f>
        <v>2238.2528222730739</v>
      </c>
      <c r="Q24" s="87">
        <f>'FREEVAL INPUT 2023 Hourly'!R23*(1-(1/(VLOOKUP('FREEVAL INPUT 2023 Hourly'!R23,'Rate Calculations &amp; PHF'!$AX$6:$AZ$11,3,TRUE))-1.05)/3)</f>
        <v>269.63695652173914</v>
      </c>
      <c r="R24" s="87">
        <f>P24+Q24</f>
        <v>2507.8897787948131</v>
      </c>
    </row>
    <row r="25" spans="1:18" s="78" customFormat="1" x14ac:dyDescent="0.25">
      <c r="A25" s="85"/>
      <c r="B25" s="86">
        <v>0.687500000000002</v>
      </c>
      <c r="C25" s="87">
        <f t="shared" si="2"/>
        <v>4325.1588679344541</v>
      </c>
      <c r="D25" s="87">
        <f>('FREEVAL INPUT 2023 Hourly'!E23*(1/((VLOOKUP('FREEVAL INPUT 2023 Hourly'!E23,'Rate Calculations &amp; PHF'!$AX$6:$AZ$11,3,TRUE)))))</f>
        <v>125.28735632183907</v>
      </c>
      <c r="E25" s="90">
        <f t="shared" si="3"/>
        <v>4450.4462242562931</v>
      </c>
      <c r="F25" s="87">
        <f>H25+G25</f>
        <v>4450.4462242562931</v>
      </c>
      <c r="G25" s="87">
        <f>('FREEVAL INPUT 2023 Hourly'!H23*(1/((VLOOKUP('FREEVAL INPUT 2023 Hourly'!H23,'Rate Calculations &amp; PHF'!$AX$6:$AZ$11,3,TRUE)))))</f>
        <v>1208.421052631579</v>
      </c>
      <c r="H25" s="87">
        <f>J25-I25</f>
        <v>3242.0251716247139</v>
      </c>
      <c r="I25" s="87">
        <f>('FREEVAL INPUT 2023 Hourly'!J23*(1/((VLOOKUP('FREEVAL INPUT 2023 Hourly'!J23,'Rate Calculations &amp; PHF'!$AX$6:$AZ$11,3,TRUE)))))</f>
        <v>375</v>
      </c>
      <c r="J25" s="87">
        <f>L25+K25</f>
        <v>3617.0251716247139</v>
      </c>
      <c r="K25" s="87">
        <f>('FREEVAL INPUT 2023 Hourly'!L23*(1/((VLOOKUP('FREEVAL INPUT 2023 Hourly'!L23,'Rate Calculations &amp; PHF'!$AX$6:$AZ$11,3,TRUE)))))</f>
        <v>1427.3684210526314</v>
      </c>
      <c r="L25" s="87">
        <f>N25-M25</f>
        <v>2189.6567505720823</v>
      </c>
      <c r="M25" s="87">
        <f>('FREEVAL INPUT 2023 Hourly'!N23*(1/((VLOOKUP('FREEVAL INPUT 2023 Hourly'!N23,'Rate Calculations &amp; PHF'!$AX$6:$AZ$11,3,TRUE)))))</f>
        <v>460.86956521739125</v>
      </c>
      <c r="N25" s="87">
        <f>('FREEVAL INPUT 2023 Hourly'!O23*(1/((VLOOKUP('FREEVAL INPUT 2023 Hourly'!O23,'Rate Calculations &amp; PHF'!$AX$6:$AZ$11,3,TRUE)))))</f>
        <v>2650.5263157894738</v>
      </c>
      <c r="O25" s="87">
        <f>('FREEVAL INPUT 2023 Hourly'!P23*(1/((VLOOKUP('FREEVAL INPUT 2023 Hourly'!P23,'Rate Calculations &amp; PHF'!$AX$6:$AZ$11,3,TRUE)))))</f>
        <v>305.43478260869563</v>
      </c>
      <c r="P25" s="87">
        <f>N25-O25</f>
        <v>2345.0915331807782</v>
      </c>
      <c r="Q25" s="87">
        <f>('FREEVAL INPUT 2023 Hourly'!R23*(1/((VLOOKUP('FREEVAL INPUT 2023 Hourly'!R23,'Rate Calculations &amp; PHF'!$AX$6:$AZ$11,3,TRUE)))))</f>
        <v>296.73913043478257</v>
      </c>
      <c r="R25" s="87">
        <f>P25+Q25</f>
        <v>2641.8306636155608</v>
      </c>
    </row>
    <row r="26" spans="1:18" s="78" customFormat="1" x14ac:dyDescent="0.25">
      <c r="A26" s="85"/>
      <c r="B26" s="86">
        <v>0.69791666666666796</v>
      </c>
      <c r="C26" s="87">
        <f t="shared" si="2"/>
        <v>4152.6803773551819</v>
      </c>
      <c r="D26" s="87">
        <f>'FREEVAL INPUT 2023 Hourly'!E23*(1-(1/(VLOOKUP('FREEVAL INPUT 2023 Hourly'!E23,'Rate Calculations &amp; PHF'!$AX$6:$AZ$11,3,TRUE))-1.05)/3)</f>
        <v>105.38754789272032</v>
      </c>
      <c r="E26" s="90">
        <f t="shared" si="3"/>
        <v>4258.0679252479022</v>
      </c>
      <c r="F26" s="87">
        <f>H26+G26</f>
        <v>4258.0679252479022</v>
      </c>
      <c r="G26" s="87">
        <f>'FREEVAL INPUT 2023 Hourly'!H23*(1-(1/(VLOOKUP('FREEVAL INPUT 2023 Hourly'!H23,'Rate Calculations &amp; PHF'!$AX$6:$AZ$11,3,TRUE))-1.05)/3)</f>
        <v>1146.9929824561405</v>
      </c>
      <c r="H26" s="87">
        <f>J26-I26</f>
        <v>3111.0749427917617</v>
      </c>
      <c r="I26" s="87">
        <f>'FREEVAL INPUT 2023 Hourly'!J23*(1-(1/(VLOOKUP('FREEVAL INPUT 2023 Hourly'!J23,'Rate Calculations &amp; PHF'!$AX$6:$AZ$11,3,TRUE))-1.05)/3)</f>
        <v>340.75</v>
      </c>
      <c r="J26" s="87">
        <f>L26+K26</f>
        <v>3451.8249427917617</v>
      </c>
      <c r="K26" s="87">
        <f>'FREEVAL INPUT 2023 Hourly'!L23*(1-(1/(VLOOKUP('FREEVAL INPUT 2023 Hourly'!L23,'Rate Calculations &amp; PHF'!$AX$6:$AZ$11,3,TRUE))-1.05)/3)</f>
        <v>1354.8105263157895</v>
      </c>
      <c r="L26" s="87">
        <f>N26-M26</f>
        <v>2097.0144164759722</v>
      </c>
      <c r="M26" s="87">
        <f>'FREEVAL INPUT 2023 Hourly'!N23*(1-(1/(VLOOKUP('FREEVAL INPUT 2023 Hourly'!N23,'Rate Calculations &amp; PHF'!$AX$6:$AZ$11,3,TRUE))-1.05)/3)</f>
        <v>418.77681159420291</v>
      </c>
      <c r="N26" s="87">
        <f>'FREEVAL INPUT 2023 Hourly'!O23*(1-(1/(VLOOKUP('FREEVAL INPUT 2023 Hourly'!O23,'Rate Calculations &amp; PHF'!$AX$6:$AZ$11,3,TRUE))-1.05)/3)</f>
        <v>2515.7912280701753</v>
      </c>
      <c r="O26" s="87">
        <f>'FREEVAL INPUT 2023 Hourly'!P23*(1-(1/(VLOOKUP('FREEVAL INPUT 2023 Hourly'!P23,'Rate Calculations &amp; PHF'!$AX$6:$AZ$11,3,TRUE))-1.05)/3)</f>
        <v>277.53840579710146</v>
      </c>
      <c r="P26" s="87">
        <f>N26-O26</f>
        <v>2238.2528222730739</v>
      </c>
      <c r="Q26" s="87">
        <f>'FREEVAL INPUT 2023 Hourly'!R23*(1-(1/(VLOOKUP('FREEVAL INPUT 2023 Hourly'!R23,'Rate Calculations &amp; PHF'!$AX$6:$AZ$11,3,TRUE))-1.05)/3)</f>
        <v>269.63695652173914</v>
      </c>
      <c r="R26" s="87">
        <f>P26+Q26</f>
        <v>2507.8897787948131</v>
      </c>
    </row>
    <row r="27" spans="1:18" x14ac:dyDescent="0.25">
      <c r="A27" s="38"/>
      <c r="B27" s="20">
        <v>0.70833333333333504</v>
      </c>
      <c r="C27" s="21">
        <f>'FREEVAL INPUT 2023 Hourly'!D$24*'Rate Calculations &amp; PHF'!$BC6</f>
        <v>4368.0837360894047</v>
      </c>
      <c r="D27" s="21">
        <f>'FREEVAL INPUT 2023 Hourly'!E$24*'Rate Calculations &amp; PHF'!$BC6</f>
        <v>121.39989208295064</v>
      </c>
      <c r="E27" s="21">
        <f>'FREEVAL INPUT 2023 Hourly'!F$24*'Rate Calculations &amp; PHF'!$BC6</f>
        <v>4489.4836281723556</v>
      </c>
      <c r="F27" s="21">
        <f>'FREEVAL INPUT 2023 Hourly'!G$24*'Rate Calculations &amp; PHF'!$BC6</f>
        <v>4489.4836281723556</v>
      </c>
      <c r="G27" s="21">
        <f>'FREEVAL INPUT 2023 Hourly'!H$24*'Rate Calculations &amp; PHF'!$BC6</f>
        <v>1278.7455299404135</v>
      </c>
      <c r="H27" s="21">
        <f>'FREEVAL INPUT 2023 Hourly'!I$24*'Rate Calculations &amp; PHF'!$BC6</f>
        <v>3210.7380982319423</v>
      </c>
      <c r="I27" s="21">
        <f>'FREEVAL INPUT 2023 Hourly'!J$24*'Rate Calculations &amp; PHF'!$BC6</f>
        <v>277.48546761817289</v>
      </c>
      <c r="J27" s="21">
        <f>'FREEVAL INPUT 2023 Hourly'!K$24*'Rate Calculations &amp; PHF'!$BC6</f>
        <v>3488.2235658501154</v>
      </c>
      <c r="K27" s="21">
        <f>'FREEVAL INPUT 2023 Hourly'!L$24*'Rate Calculations &amp; PHF'!$BC6</f>
        <v>1589.760491562449</v>
      </c>
      <c r="L27" s="21">
        <f>'FREEVAL INPUT 2023 Hourly'!M$24*'Rate Calculations &amp; PHF'!$BC6</f>
        <v>1898.4630742876664</v>
      </c>
      <c r="M27" s="21">
        <f>'FREEVAL INPUT 2023 Hourly'!N$24*'Rate Calculations &amp; PHF'!$BC6</f>
        <v>435.88342205021326</v>
      </c>
      <c r="N27" s="21">
        <f>'FREEVAL INPUT 2023 Hourly'!O$24*'Rate Calculations &amp; PHF'!$BC6</f>
        <v>2334.3464963378797</v>
      </c>
      <c r="O27" s="21">
        <f>'FREEVAL INPUT 2023 Hourly'!P$24*'Rate Calculations &amp; PHF'!$BC6</f>
        <v>283.26641486021816</v>
      </c>
      <c r="P27" s="21">
        <f>'FREEVAL INPUT 2023 Hourly'!Q$24*'Rate Calculations &amp; PHF'!$BC6</f>
        <v>2051.0800814776612</v>
      </c>
      <c r="Q27" s="21">
        <f>'FREEVAL INPUT 2023 Hourly'!R$24*'Rate Calculations &amp; PHF'!$BC6</f>
        <v>234.70645802703794</v>
      </c>
      <c r="R27" s="21">
        <f>'FREEVAL INPUT 2023 Hourly'!S$24*'Rate Calculations &amp; PHF'!$BC6</f>
        <v>2285.7865395046988</v>
      </c>
    </row>
    <row r="28" spans="1:18" x14ac:dyDescent="0.25">
      <c r="A28" s="38"/>
      <c r="B28" s="20">
        <v>0.718750000000002</v>
      </c>
      <c r="C28" s="21">
        <f>'FREEVAL INPUT 2023 Hourly'!D$24*'Rate Calculations &amp; PHF'!$BC7</f>
        <v>4160.0797486565762</v>
      </c>
      <c r="D28" s="21">
        <f>'FREEVAL INPUT 2023 Hourly'!E$24*'Rate Calculations &amp; PHF'!$BC7</f>
        <v>115.61894484090537</v>
      </c>
      <c r="E28" s="21">
        <f>'FREEVAL INPUT 2023 Hourly'!F$24*'Rate Calculations &amp; PHF'!$BC7</f>
        <v>4275.6986934974811</v>
      </c>
      <c r="F28" s="21">
        <f>'FREEVAL INPUT 2023 Hourly'!G$24*'Rate Calculations &amp; PHF'!$BC7</f>
        <v>4275.6986934974811</v>
      </c>
      <c r="G28" s="21">
        <f>'FREEVAL INPUT 2023 Hourly'!H$24*'Rate Calculations &amp; PHF'!$BC7</f>
        <v>1217.8528856575365</v>
      </c>
      <c r="H28" s="21">
        <f>'FREEVAL INPUT 2023 Hourly'!I$24*'Rate Calculations &amp; PHF'!$BC7</f>
        <v>3057.8458078399449</v>
      </c>
      <c r="I28" s="21">
        <f>'FREEVAL INPUT 2023 Hourly'!J$24*'Rate Calculations &amp; PHF'!$BC7</f>
        <v>264.2718739220694</v>
      </c>
      <c r="J28" s="21">
        <f>'FREEVAL INPUT 2023 Hourly'!K$24*'Rate Calculations &amp; PHF'!$BC7</f>
        <v>3322.1176817620144</v>
      </c>
      <c r="K28" s="21">
        <f>'FREEVAL INPUT 2023 Hourly'!L$24*'Rate Calculations &amp; PHF'!$BC7</f>
        <v>1514.0576110118561</v>
      </c>
      <c r="L28" s="21">
        <f>'FREEVAL INPUT 2023 Hourly'!M$24*'Rate Calculations &amp; PHF'!$BC7</f>
        <v>1808.0600707501583</v>
      </c>
      <c r="M28" s="21">
        <f>'FREEVAL INPUT 2023 Hourly'!N$24*'Rate Calculations &amp; PHF'!$BC7</f>
        <v>415.12706861925068</v>
      </c>
      <c r="N28" s="21">
        <f>'FREEVAL INPUT 2023 Hourly'!O$24*'Rate Calculations &amp; PHF'!$BC7</f>
        <v>2223.1871393694091</v>
      </c>
      <c r="O28" s="21">
        <f>'FREEVAL INPUT 2023 Hourly'!P$24*'Rate Calculations &amp; PHF'!$BC7</f>
        <v>269.77753796211255</v>
      </c>
      <c r="P28" s="21">
        <f>'FREEVAL INPUT 2023 Hourly'!Q$24*'Rate Calculations &amp; PHF'!$BC7</f>
        <v>1953.4096014072963</v>
      </c>
      <c r="Q28" s="21">
        <f>'FREEVAL INPUT 2023 Hourly'!R$24*'Rate Calculations &amp; PHF'!$BC7</f>
        <v>223.5299600257504</v>
      </c>
      <c r="R28" s="21">
        <f>'FREEVAL INPUT 2023 Hourly'!S$24*'Rate Calculations &amp; PHF'!$BC7</f>
        <v>2176.9395614330465</v>
      </c>
    </row>
    <row r="29" spans="1:18" x14ac:dyDescent="0.25">
      <c r="A29" s="38"/>
      <c r="B29" s="20">
        <v>0.72916666666666796</v>
      </c>
      <c r="C29" s="21">
        <f>'FREEVAL INPUT 2023 Hourly'!D$24*'Rate Calculations &amp; PHF'!$BC8</f>
        <v>4056.0777549401619</v>
      </c>
      <c r="D29" s="21">
        <f>'FREEVAL INPUT 2023 Hourly'!E$24*'Rate Calculations &amp; PHF'!$BC8</f>
        <v>112.72847121988273</v>
      </c>
      <c r="E29" s="21">
        <f>'FREEVAL INPUT 2023 Hourly'!F$24*'Rate Calculations &amp; PHF'!$BC8</f>
        <v>4168.8062261600444</v>
      </c>
      <c r="F29" s="21">
        <f>'FREEVAL INPUT 2023 Hourly'!G$24*'Rate Calculations &amp; PHF'!$BC8</f>
        <v>4168.8062261600444</v>
      </c>
      <c r="G29" s="21">
        <f>'FREEVAL INPUT 2023 Hourly'!H$24*'Rate Calculations &amp; PHF'!$BC8</f>
        <v>1187.406563516098</v>
      </c>
      <c r="H29" s="21">
        <f>'FREEVAL INPUT 2023 Hourly'!I$24*'Rate Calculations &amp; PHF'!$BC8</f>
        <v>2981.3996626439462</v>
      </c>
      <c r="I29" s="21">
        <f>'FREEVAL INPUT 2023 Hourly'!J$24*'Rate Calculations &amp; PHF'!$BC8</f>
        <v>257.66507707401769</v>
      </c>
      <c r="J29" s="21">
        <f>'FREEVAL INPUT 2023 Hourly'!K$24*'Rate Calculations &amp; PHF'!$BC8</f>
        <v>3239.0647397179641</v>
      </c>
      <c r="K29" s="21">
        <f>'FREEVAL INPUT 2023 Hourly'!L$24*'Rate Calculations &amp; PHF'!$BC8</f>
        <v>1476.2061707365597</v>
      </c>
      <c r="L29" s="21">
        <f>'FREEVAL INPUT 2023 Hourly'!M$24*'Rate Calculations &amp; PHF'!$BC8</f>
        <v>1762.8585689814042</v>
      </c>
      <c r="M29" s="21">
        <f>'FREEVAL INPUT 2023 Hourly'!N$24*'Rate Calculations &amp; PHF'!$BC8</f>
        <v>404.74889190376939</v>
      </c>
      <c r="N29" s="21">
        <f>'FREEVAL INPUT 2023 Hourly'!O$24*'Rate Calculations &amp; PHF'!$BC8</f>
        <v>2167.6074608851736</v>
      </c>
      <c r="O29" s="21">
        <f>'FREEVAL INPUT 2023 Hourly'!P$24*'Rate Calculations &amp; PHF'!$BC8</f>
        <v>263.03309951305971</v>
      </c>
      <c r="P29" s="21">
        <f>'FREEVAL INPUT 2023 Hourly'!Q$24*'Rate Calculations &amp; PHF'!$BC8</f>
        <v>1904.5743613721138</v>
      </c>
      <c r="Q29" s="21">
        <f>'FREEVAL INPUT 2023 Hourly'!R$24*'Rate Calculations &amp; PHF'!$BC8</f>
        <v>217.94171102510663</v>
      </c>
      <c r="R29" s="21">
        <f>'FREEVAL INPUT 2023 Hourly'!S$24*'Rate Calculations &amp; PHF'!$BC8</f>
        <v>2122.5160723972203</v>
      </c>
    </row>
    <row r="30" spans="1:18" x14ac:dyDescent="0.25">
      <c r="A30" s="38"/>
      <c r="B30" s="20">
        <v>0.73958333333333504</v>
      </c>
      <c r="C30" s="21">
        <f>'FREEVAL INPUT 2023 Hourly'!D$24*'Rate Calculations &amp; PHF'!$BC9</f>
        <v>4056.0777549401619</v>
      </c>
      <c r="D30" s="21">
        <f>'FREEVAL INPUT 2023 Hourly'!E$24*'Rate Calculations &amp; PHF'!$BC9</f>
        <v>112.72847121988273</v>
      </c>
      <c r="E30" s="21">
        <f>'FREEVAL INPUT 2023 Hourly'!F$24*'Rate Calculations &amp; PHF'!$BC9</f>
        <v>4168.8062261600444</v>
      </c>
      <c r="F30" s="21">
        <f>'FREEVAL INPUT 2023 Hourly'!G$24*'Rate Calculations &amp; PHF'!$BC9</f>
        <v>4168.8062261600444</v>
      </c>
      <c r="G30" s="21">
        <f>'FREEVAL INPUT 2023 Hourly'!H$24*'Rate Calculations &amp; PHF'!$BC9</f>
        <v>1187.406563516098</v>
      </c>
      <c r="H30" s="21">
        <f>'FREEVAL INPUT 2023 Hourly'!I$24*'Rate Calculations &amp; PHF'!$BC9</f>
        <v>2981.3996626439462</v>
      </c>
      <c r="I30" s="21">
        <f>'FREEVAL INPUT 2023 Hourly'!J$24*'Rate Calculations &amp; PHF'!$BC9</f>
        <v>257.66507707401769</v>
      </c>
      <c r="J30" s="21">
        <f>'FREEVAL INPUT 2023 Hourly'!K$24*'Rate Calculations &amp; PHF'!$BC9</f>
        <v>3239.0647397179641</v>
      </c>
      <c r="K30" s="21">
        <f>'FREEVAL INPUT 2023 Hourly'!L$24*'Rate Calculations &amp; PHF'!$BC9</f>
        <v>1476.2061707365597</v>
      </c>
      <c r="L30" s="21">
        <f>'FREEVAL INPUT 2023 Hourly'!M$24*'Rate Calculations &amp; PHF'!$BC9</f>
        <v>1762.8585689814042</v>
      </c>
      <c r="M30" s="21">
        <f>'FREEVAL INPUT 2023 Hourly'!N$24*'Rate Calculations &amp; PHF'!$BC9</f>
        <v>404.74889190376939</v>
      </c>
      <c r="N30" s="21">
        <f>'FREEVAL INPUT 2023 Hourly'!O$24*'Rate Calculations &amp; PHF'!$BC9</f>
        <v>2167.6074608851736</v>
      </c>
      <c r="O30" s="21">
        <f>'FREEVAL INPUT 2023 Hourly'!P$24*'Rate Calculations &amp; PHF'!$BC9</f>
        <v>263.03309951305971</v>
      </c>
      <c r="P30" s="21">
        <f>'FREEVAL INPUT 2023 Hourly'!Q$24*'Rate Calculations &amp; PHF'!$BC9</f>
        <v>1904.5743613721138</v>
      </c>
      <c r="Q30" s="21">
        <f>'FREEVAL INPUT 2023 Hourly'!R$24*'Rate Calculations &amp; PHF'!$BC9</f>
        <v>217.94171102510663</v>
      </c>
      <c r="R30" s="21">
        <f>'FREEVAL INPUT 2023 Hourly'!S$24*'Rate Calculations &amp; PHF'!$BC9</f>
        <v>2122.5160723972203</v>
      </c>
    </row>
    <row r="31" spans="1:18" s="81" customFormat="1" x14ac:dyDescent="0.25">
      <c r="B31" s="117"/>
      <c r="C31" s="117"/>
      <c r="D31" s="117"/>
      <c r="E31" s="117"/>
    </row>
    <row r="32" spans="1:18" x14ac:dyDescent="0.25">
      <c r="A32" t="s">
        <v>43</v>
      </c>
      <c r="B32" s="54"/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7">
        <v>9</v>
      </c>
      <c r="L32" s="17">
        <v>10</v>
      </c>
      <c r="M32" s="17">
        <v>11</v>
      </c>
      <c r="N32" s="21">
        <v>12</v>
      </c>
      <c r="O32" s="17">
        <v>13</v>
      </c>
      <c r="P32" s="21">
        <v>14</v>
      </c>
      <c r="Q32" s="17">
        <v>15</v>
      </c>
    </row>
    <row r="33" spans="1:17" x14ac:dyDescent="0.25">
      <c r="B33" s="16" t="s">
        <v>203</v>
      </c>
      <c r="C33" s="17" t="s">
        <v>201</v>
      </c>
      <c r="D33" s="17" t="s">
        <v>198</v>
      </c>
      <c r="E33" s="17" t="s">
        <v>199</v>
      </c>
      <c r="F33" s="17" t="s">
        <v>200</v>
      </c>
      <c r="G33" s="17" t="s">
        <v>197</v>
      </c>
      <c r="H33" s="17" t="s">
        <v>194</v>
      </c>
      <c r="I33" s="17" t="s">
        <v>195</v>
      </c>
      <c r="J33" s="17" t="s">
        <v>196</v>
      </c>
      <c r="K33" s="17" t="s">
        <v>193</v>
      </c>
      <c r="L33" s="17" t="s">
        <v>190</v>
      </c>
      <c r="M33" s="17" t="s">
        <v>191</v>
      </c>
      <c r="N33" s="17" t="s">
        <v>192</v>
      </c>
      <c r="O33" s="17" t="s">
        <v>189</v>
      </c>
      <c r="P33" s="101" t="s">
        <v>251</v>
      </c>
      <c r="Q33" s="99" t="s">
        <v>252</v>
      </c>
    </row>
    <row r="34" spans="1:17" x14ac:dyDescent="0.25">
      <c r="B34" s="16" t="s">
        <v>6</v>
      </c>
      <c r="C34" s="17"/>
      <c r="D34" s="17" t="s">
        <v>32</v>
      </c>
      <c r="E34" s="17"/>
      <c r="F34" s="17" t="s">
        <v>28</v>
      </c>
      <c r="G34" s="17" t="s">
        <v>25</v>
      </c>
      <c r="H34" s="17" t="s">
        <v>22</v>
      </c>
      <c r="I34" s="17"/>
      <c r="J34" s="42" t="s">
        <v>18</v>
      </c>
      <c r="K34" s="17"/>
      <c r="L34" s="17" t="s">
        <v>14</v>
      </c>
      <c r="M34" s="17"/>
      <c r="N34" s="17" t="s">
        <v>10</v>
      </c>
      <c r="O34" s="17"/>
    </row>
    <row r="35" spans="1:17" x14ac:dyDescent="0.25">
      <c r="B35" s="16" t="s">
        <v>202</v>
      </c>
      <c r="C35" s="17" t="s">
        <v>40</v>
      </c>
      <c r="D35" s="17" t="s">
        <v>41</v>
      </c>
      <c r="E35" s="17" t="s">
        <v>40</v>
      </c>
      <c r="F35" s="17" t="s">
        <v>42</v>
      </c>
      <c r="G35" s="17" t="s">
        <v>40</v>
      </c>
      <c r="H35" s="17" t="s">
        <v>41</v>
      </c>
      <c r="I35" s="17" t="s">
        <v>40</v>
      </c>
      <c r="J35" s="17" t="s">
        <v>42</v>
      </c>
      <c r="K35" s="17" t="s">
        <v>40</v>
      </c>
      <c r="L35" s="17" t="s">
        <v>41</v>
      </c>
      <c r="M35" s="17" t="s">
        <v>40</v>
      </c>
      <c r="N35" s="17" t="s">
        <v>42</v>
      </c>
      <c r="O35" s="17" t="s">
        <v>40</v>
      </c>
      <c r="P35" s="17" t="s">
        <v>41</v>
      </c>
      <c r="Q35" s="17" t="s">
        <v>40</v>
      </c>
    </row>
    <row r="36" spans="1:17" x14ac:dyDescent="0.25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5">
      <c r="A37" s="38"/>
      <c r="B37" s="20">
        <v>0.25</v>
      </c>
      <c r="C37" s="21">
        <f>'FREEVAL INPUT 2023 Hourly'!D$45*'Rate Calculations &amp; PHF'!$BB6</f>
        <v>2278.1887231294395</v>
      </c>
      <c r="D37" s="21">
        <f>'FREEVAL INPUT 2023 Hourly'!E$45*'Rate Calculations &amp; PHF'!$BB6</f>
        <v>76.225918634396891</v>
      </c>
      <c r="E37" s="21">
        <f>'FREEVAL INPUT 2023 Hourly'!F$45*'Rate Calculations &amp; PHF'!$BB6</f>
        <v>2201.9628044950427</v>
      </c>
      <c r="F37" s="21">
        <f>'FREEVAL INPUT 2023 Hourly'!G$45*'Rate Calculations &amp; PHF'!$BB6</f>
        <v>283.43158478141942</v>
      </c>
      <c r="G37" s="21">
        <f>'FREEVAL INPUT 2023 Hourly'!H$45*'Rate Calculations &amp; PHF'!$BB6</f>
        <v>2485.3943892764623</v>
      </c>
      <c r="H37" s="21">
        <f>'FREEVAL INPUT 2023 Hourly'!I$45*'Rate Calculations &amp; PHF'!$BB6</f>
        <v>216.86810653729822</v>
      </c>
      <c r="I37" s="21">
        <f>'FREEVAL INPUT 2023 Hourly'!J$45*'Rate Calculations &amp; PHF'!$BB6</f>
        <v>2268.5262827391639</v>
      </c>
      <c r="J37" s="21">
        <f>'FREEVAL INPUT 2023 Hourly'!K$45*'Rate Calculations &amp; PHF'!$BB6</f>
        <v>1291.5461988335135</v>
      </c>
      <c r="K37" s="21">
        <f>'FREEVAL INPUT 2023 Hourly'!L$45*'Rate Calculations &amp; PHF'!$BB6</f>
        <v>3560.0724815726776</v>
      </c>
      <c r="L37" s="21">
        <f>'FREEVAL INPUT 2023 Hourly'!M$45*'Rate Calculations &amp; PHF'!$BB6</f>
        <v>130.97974751262566</v>
      </c>
      <c r="M37" s="21">
        <f>'FREEVAL INPUT 2023 Hourly'!N$45*'Rate Calculations &amp; PHF'!$BB6</f>
        <v>3429.092734060052</v>
      </c>
      <c r="N37" s="21">
        <f>'FREEVAL INPUT 2023 Hourly'!O$45*'Rate Calculations &amp; PHF'!$BB6</f>
        <v>1058.5740249790895</v>
      </c>
      <c r="O37" s="21">
        <f>'FREEVAL INPUT 2023 Hourly'!P$45*'Rate Calculations &amp; PHF'!$BB6</f>
        <v>4487.6667590391417</v>
      </c>
      <c r="P37" s="21">
        <f>'FREEVAL INPUT 2023 Hourly'!Q$45*'Rate Calculations &amp; PHF'!$BB6</f>
        <v>69.784291707546473</v>
      </c>
      <c r="Q37" s="21">
        <f>'FREEVAL INPUT 2023 Hourly'!R$45*'Rate Calculations &amp; PHF'!$BB6</f>
        <v>4417.8824673315949</v>
      </c>
    </row>
    <row r="38" spans="1:17" x14ac:dyDescent="0.25">
      <c r="A38" s="38"/>
      <c r="B38" s="20">
        <v>0.26041666666666702</v>
      </c>
      <c r="C38" s="21">
        <f>'FREEVAL INPUT 2023 Hourly'!D$45*'Rate Calculations &amp; PHF'!$BB7</f>
        <v>2278.1887231294395</v>
      </c>
      <c r="D38" s="21">
        <f>'FREEVAL INPUT 2023 Hourly'!E$45*'Rate Calculations &amp; PHF'!$BB7</f>
        <v>76.225918634396891</v>
      </c>
      <c r="E38" s="21">
        <f>'FREEVAL INPUT 2023 Hourly'!F$45*'Rate Calculations &amp; PHF'!$BB7</f>
        <v>2201.9628044950427</v>
      </c>
      <c r="F38" s="21">
        <f>'FREEVAL INPUT 2023 Hourly'!G$45*'Rate Calculations &amp; PHF'!$BB7</f>
        <v>283.43158478141942</v>
      </c>
      <c r="G38" s="21">
        <f>'FREEVAL INPUT 2023 Hourly'!H$45*'Rate Calculations &amp; PHF'!$BB7</f>
        <v>2485.3943892764623</v>
      </c>
      <c r="H38" s="21">
        <f>'FREEVAL INPUT 2023 Hourly'!I$45*'Rate Calculations &amp; PHF'!$BB7</f>
        <v>216.86810653729822</v>
      </c>
      <c r="I38" s="21">
        <f>'FREEVAL INPUT 2023 Hourly'!J$45*'Rate Calculations &amp; PHF'!$BB7</f>
        <v>2268.5262827391639</v>
      </c>
      <c r="J38" s="21">
        <f>'FREEVAL INPUT 2023 Hourly'!K$45*'Rate Calculations &amp; PHF'!$BB7</f>
        <v>1291.5461988335135</v>
      </c>
      <c r="K38" s="21">
        <f>'FREEVAL INPUT 2023 Hourly'!L$45*'Rate Calculations &amp; PHF'!$BB7</f>
        <v>3560.0724815726776</v>
      </c>
      <c r="L38" s="21">
        <f>'FREEVAL INPUT 2023 Hourly'!M$45*'Rate Calculations &amp; PHF'!$BB7</f>
        <v>130.97974751262566</v>
      </c>
      <c r="M38" s="21">
        <f>'FREEVAL INPUT 2023 Hourly'!N$45*'Rate Calculations &amp; PHF'!$BB7</f>
        <v>3429.092734060052</v>
      </c>
      <c r="N38" s="21">
        <f>'FREEVAL INPUT 2023 Hourly'!O$45*'Rate Calculations &amp; PHF'!$BB7</f>
        <v>1058.5740249790895</v>
      </c>
      <c r="O38" s="21">
        <f>'FREEVAL INPUT 2023 Hourly'!P$45*'Rate Calculations &amp; PHF'!$BB7</f>
        <v>4487.6667590391417</v>
      </c>
      <c r="P38" s="21">
        <f>'FREEVAL INPUT 2023 Hourly'!Q$45*'Rate Calculations &amp; PHF'!$BB7</f>
        <v>69.784291707546473</v>
      </c>
      <c r="Q38" s="21">
        <f>'FREEVAL INPUT 2023 Hourly'!R$45*'Rate Calculations &amp; PHF'!$BB7</f>
        <v>4417.8824673315949</v>
      </c>
    </row>
    <row r="39" spans="1:17" x14ac:dyDescent="0.25">
      <c r="A39" s="38"/>
      <c r="B39" s="20">
        <v>0.27083333333333298</v>
      </c>
      <c r="C39" s="21">
        <f>'FREEVAL INPUT 2023 Hourly'!D$45*'Rate Calculations &amp; PHF'!$BB8</f>
        <v>2336.6038185942971</v>
      </c>
      <c r="D39" s="21">
        <f>'FREEVAL INPUT 2023 Hourly'!E$45*'Rate Calculations &amp; PHF'!$BB8</f>
        <v>78.180429368612195</v>
      </c>
      <c r="E39" s="21">
        <f>'FREEVAL INPUT 2023 Hourly'!F$45*'Rate Calculations &amp; PHF'!$BB8</f>
        <v>2258.4233892256848</v>
      </c>
      <c r="F39" s="21">
        <f>'FREEVAL INPUT 2023 Hourly'!G$45*'Rate Calculations &amp; PHF'!$BB8</f>
        <v>290.69906131427632</v>
      </c>
      <c r="G39" s="21">
        <f>'FREEVAL INPUT 2023 Hourly'!H$45*'Rate Calculations &amp; PHF'!$BB8</f>
        <v>2549.1224505399614</v>
      </c>
      <c r="H39" s="21">
        <f>'FREEVAL INPUT 2023 Hourly'!I$45*'Rate Calculations &amp; PHF'!$BB8</f>
        <v>222.42882721774177</v>
      </c>
      <c r="I39" s="21">
        <f>'FREEVAL INPUT 2023 Hourly'!J$45*'Rate Calculations &amp; PHF'!$BB8</f>
        <v>2326.6936233222195</v>
      </c>
      <c r="J39" s="21">
        <f>'FREEVAL INPUT 2023 Hourly'!K$45*'Rate Calculations &amp; PHF'!$BB8</f>
        <v>1324.6627680343729</v>
      </c>
      <c r="K39" s="21">
        <f>'FREEVAL INPUT 2023 Hourly'!L$45*'Rate Calculations &amp; PHF'!$BB8</f>
        <v>3651.3563913565927</v>
      </c>
      <c r="L39" s="21">
        <f>'FREEVAL INPUT 2023 Hourly'!M$45*'Rate Calculations &amp; PHF'!$BB8</f>
        <v>134.33820257705196</v>
      </c>
      <c r="M39" s="21">
        <f>'FREEVAL INPUT 2023 Hourly'!N$45*'Rate Calculations &amp; PHF'!$BB8</f>
        <v>3517.0181887795407</v>
      </c>
      <c r="N39" s="21">
        <f>'FREEVAL INPUT 2023 Hourly'!O$45*'Rate Calculations &amp; PHF'!$BB8</f>
        <v>1085.716948696502</v>
      </c>
      <c r="O39" s="21">
        <f>'FREEVAL INPUT 2023 Hourly'!P$45*'Rate Calculations &amp; PHF'!$BB8</f>
        <v>4602.7351374760428</v>
      </c>
      <c r="P39" s="21">
        <f>'FREEVAL INPUT 2023 Hourly'!Q$45*'Rate Calculations &amp; PHF'!$BB8</f>
        <v>71.57363252056048</v>
      </c>
      <c r="Q39" s="21">
        <f>'FREEVAL INPUT 2023 Hourly'!R$45*'Rate Calculations &amp; PHF'!$BB8</f>
        <v>4531.1615049554821</v>
      </c>
    </row>
    <row r="40" spans="1:17" x14ac:dyDescent="0.25">
      <c r="A40" s="38"/>
      <c r="B40" s="20">
        <v>0.28125</v>
      </c>
      <c r="C40" s="21">
        <f>'FREEVAL INPUT 2023 Hourly'!D$45*'Rate Calculations &amp; PHF'!$BB9</f>
        <v>2453.4340095240123</v>
      </c>
      <c r="D40" s="21">
        <f>'FREEVAL INPUT 2023 Hourly'!E$45*'Rate Calculations &amp; PHF'!$BB9</f>
        <v>82.089450837042804</v>
      </c>
      <c r="E40" s="21">
        <f>'FREEVAL INPUT 2023 Hourly'!F$45*'Rate Calculations &amp; PHF'!$BB9</f>
        <v>2371.3445586869693</v>
      </c>
      <c r="F40" s="21">
        <f>'FREEVAL INPUT 2023 Hourly'!G$45*'Rate Calculations &amp; PHF'!$BB9</f>
        <v>305.23401437999013</v>
      </c>
      <c r="G40" s="21">
        <f>'FREEVAL INPUT 2023 Hourly'!H$45*'Rate Calculations &amp; PHF'!$BB9</f>
        <v>2676.5785730669595</v>
      </c>
      <c r="H40" s="21">
        <f>'FREEVAL INPUT 2023 Hourly'!I$45*'Rate Calculations &amp; PHF'!$BB9</f>
        <v>233.55026857862887</v>
      </c>
      <c r="I40" s="21">
        <f>'FREEVAL INPUT 2023 Hourly'!J$45*'Rate Calculations &amp; PHF'!$BB9</f>
        <v>2443.0283044883308</v>
      </c>
      <c r="J40" s="21">
        <f>'FREEVAL INPUT 2023 Hourly'!K$45*'Rate Calculations &amp; PHF'!$BB9</f>
        <v>1390.8959064360915</v>
      </c>
      <c r="K40" s="21">
        <f>'FREEVAL INPUT 2023 Hourly'!L$45*'Rate Calculations &amp; PHF'!$BB9</f>
        <v>3833.9242109244224</v>
      </c>
      <c r="L40" s="21">
        <f>'FREEVAL INPUT 2023 Hourly'!M$45*'Rate Calculations &amp; PHF'!$BB9</f>
        <v>141.05511270590458</v>
      </c>
      <c r="M40" s="21">
        <f>'FREEVAL INPUT 2023 Hourly'!N$45*'Rate Calculations &amp; PHF'!$BB9</f>
        <v>3692.869098218518</v>
      </c>
      <c r="N40" s="21">
        <f>'FREEVAL INPUT 2023 Hourly'!O$45*'Rate Calculations &amp; PHF'!$BB9</f>
        <v>1140.0027961313272</v>
      </c>
      <c r="O40" s="21">
        <f>'FREEVAL INPUT 2023 Hourly'!P$45*'Rate Calculations &amp; PHF'!$BB9</f>
        <v>4832.8718943498452</v>
      </c>
      <c r="P40" s="21">
        <f>'FREEVAL INPUT 2023 Hourly'!Q$45*'Rate Calculations &amp; PHF'!$BB9</f>
        <v>75.152314146588509</v>
      </c>
      <c r="Q40" s="21">
        <f>'FREEVAL INPUT 2023 Hourly'!R$45*'Rate Calculations &amp; PHF'!$BB9</f>
        <v>4757.7195802032566</v>
      </c>
    </row>
    <row r="41" spans="1:17" s="78" customFormat="1" x14ac:dyDescent="0.25">
      <c r="A41" s="85"/>
      <c r="B41" s="86">
        <v>0.29166666666666702</v>
      </c>
      <c r="C41" s="87">
        <f>E41+D41</f>
        <v>2115.0611282078262</v>
      </c>
      <c r="D41" s="87">
        <f>'FREEVAL INPUT 2023 Hourly'!E$46*(1-(1/(VLOOKUP('FREEVAL INPUT 2020 Hourly'!E$46,'Rate Calculations &amp; PHF'!$AX$6:$AZ$11,3,TRUE))-0.9)/3)</f>
        <v>190.7065134099617</v>
      </c>
      <c r="E41" s="87">
        <f>G41-F41</f>
        <v>1924.3546147978645</v>
      </c>
      <c r="F41" s="87">
        <f>'FREEVAL INPUT 2023 Hourly'!G$46*(1-(1/(VLOOKUP('FREEVAL INPUT 2020 Hourly'!G$46,'Rate Calculations &amp; PHF'!$AX$6:$AZ$11,3,TRUE))-0.9)/3)</f>
        <v>350.69275362318842</v>
      </c>
      <c r="G41" s="87">
        <f>'FREEVAL INPUT 2023 Hourly'!H$46*(1-(1/(VLOOKUP('FREEVAL INPUT 2020 Hourly'!H$46,'Rate Calculations &amp; PHF'!$AX$6:$AZ$11,3,TRUE))-0.9)/3)</f>
        <v>2275.0473684210529</v>
      </c>
      <c r="H41" s="87">
        <f>'FREEVAL INPUT 2023 Hourly'!I$46*(1-(1/(VLOOKUP('FREEVAL INPUT 2020 Hourly'!I$46,'Rate Calculations &amp; PHF'!$AX$6:$AZ$11,3,TRUE))-0.9)/3)</f>
        <v>365.69565217391306</v>
      </c>
      <c r="I41" s="87">
        <f>G41-H41</f>
        <v>1909.3517162471398</v>
      </c>
      <c r="J41" s="87">
        <f>'FREEVAL INPUT 2023 Hourly'!K$46*(1-(1/(VLOOKUP('FREEVAL INPUT 2020 Hourly'!K$46,'Rate Calculations &amp; PHF'!$AX$6:$AZ$11,3,TRUE))-0.9)/3)</f>
        <v>1372.4315789473685</v>
      </c>
      <c r="K41" s="87">
        <f>I41+J41</f>
        <v>3281.7832951945084</v>
      </c>
      <c r="L41" s="87">
        <f>'FREEVAL INPUT 2023 Hourly'!M$46*(1-(1/(VLOOKUP('FREEVAL INPUT 2020 Hourly'!M$46,'Rate Calculations &amp; PHF'!$AX$6:$AZ$11,3,TRUE))-0.9)/3)</f>
        <v>352.56811594202895</v>
      </c>
      <c r="M41" s="87">
        <f>K41-L41</f>
        <v>2929.2151792524792</v>
      </c>
      <c r="N41" s="87">
        <f>'FREEVAL INPUT 2023 Hourly'!O$46*(1-(1/(VLOOKUP('FREEVAL INPUT 2020 Hourly'!O$46,'Rate Calculations &amp; PHF'!$AX$6:$AZ$11,3,TRUE))-0.9)/3)</f>
        <v>1219.6228070175439</v>
      </c>
      <c r="O41" s="87">
        <f>M41+N41</f>
        <v>4148.8379862700231</v>
      </c>
      <c r="P41" s="87">
        <f>'FREEVAL INPUT 2023 Hourly'!Q$46*(1-(1/(VLOOKUP('FREEVAL INPUT 2020 Hourly'!Q$46,'Rate Calculations &amp; PHF'!$AX$6:$AZ$11,3,TRUE))-0.9)/3)</f>
        <v>71.871485943775099</v>
      </c>
      <c r="Q41" s="87">
        <f>O41+P41</f>
        <v>4220.7094722137981</v>
      </c>
    </row>
    <row r="42" spans="1:17" s="78" customFormat="1" x14ac:dyDescent="0.25">
      <c r="A42" s="85"/>
      <c r="B42" s="86">
        <v>0.30208333333333298</v>
      </c>
      <c r="C42" s="87">
        <f>E42+D42</f>
        <v>2226.6111282078259</v>
      </c>
      <c r="D42" s="87">
        <f>'FREEVAL INPUT 2023 Hourly'!E$46*(1-(1/(VLOOKUP('FREEVAL INPUT 2020 Hourly'!E$46,'Rate Calculations &amp; PHF'!$AX$6:$AZ$11,3,TRUE))-1.05)/3)</f>
        <v>201.10651340996171</v>
      </c>
      <c r="E42" s="87">
        <f>G42-F42</f>
        <v>2025.5046147978644</v>
      </c>
      <c r="F42" s="87">
        <f>'FREEVAL INPUT 2023 Hourly'!G$46*(1-(1/(VLOOKUP('FREEVAL INPUT 2020 Hourly'!G$46,'Rate Calculations &amp; PHF'!$AX$6:$AZ$11,3,TRUE))-1.05)/3)</f>
        <v>369.39275362318841</v>
      </c>
      <c r="G42" s="87">
        <f>'FREEVAL INPUT 2023 Hourly'!H$46*(1-(1/(VLOOKUP('FREEVAL INPUT 2020 Hourly'!H$46,'Rate Calculations &amp; PHF'!$AX$6:$AZ$11,3,TRUE))-1.05)/3)</f>
        <v>2394.8973684210528</v>
      </c>
      <c r="H42" s="87">
        <f>'FREEVAL INPUT 2023 Hourly'!I$46*(1-(1/(VLOOKUP('FREEVAL INPUT 2020 Hourly'!I$46,'Rate Calculations &amp; PHF'!$AX$6:$AZ$11,3,TRUE))-1.05)/3)</f>
        <v>385.19565217391306</v>
      </c>
      <c r="I42" s="87">
        <f>G42-H42</f>
        <v>2009.7017162471398</v>
      </c>
      <c r="J42" s="87">
        <f>'FREEVAL INPUT 2023 Hourly'!K$46*(1-(1/(VLOOKUP('FREEVAL INPUT 2020 Hourly'!K$46,'Rate Calculations &amp; PHF'!$AX$6:$AZ$11,3,TRUE))-1.05)/3)</f>
        <v>1444.7315789473685</v>
      </c>
      <c r="K42" s="87">
        <f>I42+J42</f>
        <v>3454.433295194508</v>
      </c>
      <c r="L42" s="87">
        <f>'FREEVAL INPUT 2023 Hourly'!M$46*(1-(1/(VLOOKUP('FREEVAL INPUT 2020 Hourly'!M$46,'Rate Calculations &amp; PHF'!$AX$6:$AZ$11,3,TRUE))-1.05)/3)</f>
        <v>371.36811594202902</v>
      </c>
      <c r="M42" s="87">
        <f>K42-L42</f>
        <v>3083.0651792524791</v>
      </c>
      <c r="N42" s="87">
        <f>'FREEVAL INPUT 2023 Hourly'!O$46*(1-(1/(VLOOKUP('FREEVAL INPUT 2020 Hourly'!O$46,'Rate Calculations &amp; PHF'!$AX$6:$AZ$11,3,TRUE))-1.05)/3)</f>
        <v>1283.8728070175439</v>
      </c>
      <c r="O42" s="87">
        <f>M42+N42</f>
        <v>4366.9379862700225</v>
      </c>
      <c r="P42" s="87">
        <f>'FREEVAL INPUT 2023 Hourly'!Q$46*(1-(1/(VLOOKUP('FREEVAL INPUT 2020 Hourly'!Q$46,'Rate Calculations &amp; PHF'!$AX$6:$AZ$11,3,TRUE))-1.05)/3)</f>
        <v>75.871485943775099</v>
      </c>
      <c r="Q42" s="87">
        <f>O42+P42</f>
        <v>4442.8094722137976</v>
      </c>
    </row>
    <row r="43" spans="1:17" s="78" customFormat="1" x14ac:dyDescent="0.25">
      <c r="A43" s="85"/>
      <c r="B43" s="86">
        <v>0.3125</v>
      </c>
      <c r="C43" s="87">
        <f>E43+D43</f>
        <v>2355.7166153765224</v>
      </c>
      <c r="D43" s="87">
        <f>('FREEVAL INPUT 2023 Hourly'!E46*(1/((VLOOKUP('FREEVAL INPUT 2020 Hourly'!E46,'Rate Calculations &amp; PHF'!$AX$6:$AZ$11,3,TRUE)))))</f>
        <v>239.08045977011494</v>
      </c>
      <c r="E43" s="87">
        <f>G43-F43</f>
        <v>2116.6361556064076</v>
      </c>
      <c r="F43" s="87">
        <f>('FREEVAL INPUT 2023 Hourly'!G46*(1/((VLOOKUP('FREEVAL INPUT 2020 Hourly'!G46,'Rate Calculations &amp; PHF'!$AX$6:$AZ$11,3,TRUE)))))</f>
        <v>406.52173913043475</v>
      </c>
      <c r="G43" s="87">
        <f>('FREEVAL INPUT 2023 Hourly'!H46*(1/((VLOOKUP('FREEVAL INPUT 2020 Hourly'!H46,'Rate Calculations &amp; PHF'!$AX$6:$AZ$11,3,TRUE)))))</f>
        <v>2523.1578947368421</v>
      </c>
      <c r="H43" s="87">
        <f>('FREEVAL INPUT 2023 Hourly'!I46*(1/((VLOOKUP('FREEVAL INPUT 2020 Hourly'!I46,'Rate Calculations &amp; PHF'!$AX$6:$AZ$11,3,TRUE)))))</f>
        <v>423.91304347826087</v>
      </c>
      <c r="I43" s="87">
        <f>G43-H43</f>
        <v>2099.2448512585811</v>
      </c>
      <c r="J43" s="87">
        <f>('FREEVAL INPUT 2023 Hourly'!K46*(1/((VLOOKUP('FREEVAL INPUT 2020 Hourly'!K46,'Rate Calculations &amp; PHF'!$AX$6:$AZ$11,3,TRUE)))))</f>
        <v>1522.1052631578946</v>
      </c>
      <c r="K43" s="87">
        <f>I43+J43</f>
        <v>3621.3501144164757</v>
      </c>
      <c r="L43" s="87">
        <f>('FREEVAL INPUT 2023 Hourly'!M46*(1/((VLOOKUP('FREEVAL INPUT 2020 Hourly'!M46,'Rate Calculations &amp; PHF'!$AX$6:$AZ$11,3,TRUE)))))</f>
        <v>408.695652173913</v>
      </c>
      <c r="M43" s="87">
        <f>K43-L43</f>
        <v>3212.6544622425627</v>
      </c>
      <c r="N43" s="87">
        <f>('FREEVAL INPUT 2023 Hourly'!O46*(1/((VLOOKUP('FREEVAL INPUT 2020 Hourly'!O46,'Rate Calculations &amp; PHF'!$AX$6:$AZ$11,3,TRUE)))))</f>
        <v>1352.6315789473683</v>
      </c>
      <c r="O43" s="87">
        <f>M43+N43</f>
        <v>4565.286041189931</v>
      </c>
      <c r="P43" s="87">
        <f>('FREEVAL INPUT 2023 Hourly'!Q46*(1/((VLOOKUP('FREEVAL INPUT 2020 Hourly'!Q46,'Rate Calculations &amp; PHF'!$AX$6:$AZ$11,3,TRUE)))))</f>
        <v>96.385542168674704</v>
      </c>
      <c r="Q43" s="87">
        <f>O43+P43</f>
        <v>4661.6715833586059</v>
      </c>
    </row>
    <row r="44" spans="1:17" s="78" customFormat="1" x14ac:dyDescent="0.25">
      <c r="A44" s="85"/>
      <c r="B44" s="86">
        <v>0.32291666666666702</v>
      </c>
      <c r="C44" s="87">
        <f>E44+D44</f>
        <v>2226.6111282078259</v>
      </c>
      <c r="D44" s="87">
        <f>'FREEVAL INPUT 2023 Hourly'!E$46*(1-(1/(VLOOKUP('FREEVAL INPUT 2020 Hourly'!E$46,'Rate Calculations &amp; PHF'!$AX$6:$AZ$11,3,TRUE))-1.05)/3)</f>
        <v>201.10651340996171</v>
      </c>
      <c r="E44" s="87">
        <f>G44-F44</f>
        <v>2025.5046147978644</v>
      </c>
      <c r="F44" s="87">
        <f>'FREEVAL INPUT 2023 Hourly'!G$46*(1-(1/(VLOOKUP('FREEVAL INPUT 2020 Hourly'!G$46,'Rate Calculations &amp; PHF'!$AX$6:$AZ$11,3,TRUE))-1.05)/3)</f>
        <v>369.39275362318841</v>
      </c>
      <c r="G44" s="87">
        <f>'FREEVAL INPUT 2023 Hourly'!H$46*(1-(1/(VLOOKUP('FREEVAL INPUT 2020 Hourly'!H$46,'Rate Calculations &amp; PHF'!$AX$6:$AZ$11,3,TRUE))-1.05)/3)</f>
        <v>2394.8973684210528</v>
      </c>
      <c r="H44" s="87">
        <f>'FREEVAL INPUT 2023 Hourly'!I$46*(1-(1/(VLOOKUP('FREEVAL INPUT 2020 Hourly'!I$46,'Rate Calculations &amp; PHF'!$AX$6:$AZ$11,3,TRUE))-1.05)/3)</f>
        <v>385.19565217391306</v>
      </c>
      <c r="I44" s="87">
        <f>G44-H44</f>
        <v>2009.7017162471398</v>
      </c>
      <c r="J44" s="87">
        <f>'FREEVAL INPUT 2023 Hourly'!K$46*(1-(1/(VLOOKUP('FREEVAL INPUT 2020 Hourly'!K$46,'Rate Calculations &amp; PHF'!$AX$6:$AZ$11,3,TRUE))-1.05)/3)</f>
        <v>1444.7315789473685</v>
      </c>
      <c r="K44" s="87">
        <f>I44+J44</f>
        <v>3454.433295194508</v>
      </c>
      <c r="L44" s="87">
        <f>'FREEVAL INPUT 2023 Hourly'!M$46*(1-(1/(VLOOKUP('FREEVAL INPUT 2020 Hourly'!M$46,'Rate Calculations &amp; PHF'!$AX$6:$AZ$11,3,TRUE))-1.05)/3)</f>
        <v>371.36811594202902</v>
      </c>
      <c r="M44" s="87">
        <f>K44-L44</f>
        <v>3083.0651792524791</v>
      </c>
      <c r="N44" s="87">
        <f>'FREEVAL INPUT 2023 Hourly'!O$46*(1-(1/(VLOOKUP('FREEVAL INPUT 2020 Hourly'!O$46,'Rate Calculations &amp; PHF'!$AX$6:$AZ$11,3,TRUE))-1.05)/3)</f>
        <v>1283.8728070175439</v>
      </c>
      <c r="O44" s="87">
        <f>M44+N44</f>
        <v>4366.9379862700225</v>
      </c>
      <c r="P44" s="87">
        <f>'FREEVAL INPUT 2023 Hourly'!Q$46*(1-(1/(VLOOKUP('FREEVAL INPUT 2020 Hourly'!Q$46,'Rate Calculations &amp; PHF'!$AX$6:$AZ$11,3,TRUE))-1.05)/3)</f>
        <v>75.871485943775099</v>
      </c>
      <c r="Q44" s="87">
        <f>O44+P44</f>
        <v>4442.8094722137976</v>
      </c>
    </row>
    <row r="45" spans="1:17" x14ac:dyDescent="0.25">
      <c r="A45" s="38"/>
      <c r="B45" s="20">
        <v>0.33333333333333298</v>
      </c>
      <c r="C45" s="21">
        <f>'FREEVAL INPUT 2023 Hourly'!D$47*'Rate Calculations &amp; PHF'!$BC6</f>
        <v>1816.3736234506237</v>
      </c>
      <c r="D45" s="21">
        <f>'FREEVAL INPUT 2023 Hourly'!E$47*'Rate Calculations &amp; PHF'!$BC6</f>
        <v>136.43035491226834</v>
      </c>
      <c r="E45" s="21">
        <f>'FREEVAL INPUT 2023 Hourly'!F$47*'Rate Calculations &amp; PHF'!$BC6</f>
        <v>1679.9432685383549</v>
      </c>
      <c r="F45" s="21">
        <f>'FREEVAL INPUT 2023 Hourly'!G$47*'Rate Calculations &amp; PHF'!$BC6</f>
        <v>242.79978416590129</v>
      </c>
      <c r="G45" s="21">
        <f>'FREEVAL INPUT 2023 Hourly'!H$47*'Rate Calculations &amp; PHF'!$BC6</f>
        <v>1922.7430527042563</v>
      </c>
      <c r="H45" s="21">
        <f>'FREEVAL INPUT 2023 Hourly'!I$47*'Rate Calculations &amp; PHF'!$BC6</f>
        <v>293.67211989589964</v>
      </c>
      <c r="I45" s="21">
        <f>'FREEVAL INPUT 2023 Hourly'!J$47*'Rate Calculations &amp; PHF'!$BC6</f>
        <v>1629.0709328083565</v>
      </c>
      <c r="J45" s="21">
        <f>'FREEVAL INPUT 2023 Hourly'!K$47*'Rate Calculations &amp; PHF'!$BC6</f>
        <v>1255.6217409722324</v>
      </c>
      <c r="K45" s="21">
        <f>'FREEVAL INPUT 2023 Hourly'!L$47*'Rate Calculations &amp; PHF'!$BC6</f>
        <v>2884.6926737805888</v>
      </c>
      <c r="L45" s="21">
        <f>'FREEVAL INPUT 2023 Hourly'!M$47*'Rate Calculations &amp; PHF'!$BC6</f>
        <v>176.89698560658525</v>
      </c>
      <c r="M45" s="21">
        <f>'FREEVAL INPUT 2023 Hourly'!N$47*'Rate Calculations &amp; PHF'!$BC6</f>
        <v>2707.7956881740038</v>
      </c>
      <c r="N45" s="21">
        <f>'FREEVAL INPUT 2023 Hourly'!O$47*'Rate Calculations &amp; PHF'!$BC6</f>
        <v>1004.7286306674677</v>
      </c>
      <c r="O45" s="21">
        <f>'FREEVAL INPUT 2023 Hourly'!P$47*'Rate Calculations &amp; PHF'!$BC6</f>
        <v>3712.5243188414711</v>
      </c>
      <c r="P45" s="21">
        <f>'FREEVAL INPUT 2023 Hourly'!Q$47*'Rate Calculations &amp; PHF'!$BC6</f>
        <v>87.870398079088091</v>
      </c>
      <c r="Q45" s="21">
        <f>'FREEVAL INPUT 2023 Hourly'!R$47*'Rate Calculations &amp; PHF'!$BC6</f>
        <v>3624.6539207623832</v>
      </c>
    </row>
    <row r="46" spans="1:17" x14ac:dyDescent="0.25">
      <c r="A46" s="38"/>
      <c r="B46" s="20">
        <v>0.34375</v>
      </c>
      <c r="C46" s="21">
        <f>'FREEVAL INPUT 2023 Hourly'!D$47*'Rate Calculations &amp; PHF'!$BC7</f>
        <v>1729.8796413815462</v>
      </c>
      <c r="D46" s="21">
        <f>'FREEVAL INPUT 2023 Hourly'!E$47*'Rate Calculations &amp; PHF'!$BC7</f>
        <v>129.93367134501747</v>
      </c>
      <c r="E46" s="21">
        <f>'FREEVAL INPUT 2023 Hourly'!F$47*'Rate Calculations &amp; PHF'!$BC7</f>
        <v>1599.9459700365285</v>
      </c>
      <c r="F46" s="21">
        <f>'FREEVAL INPUT 2023 Hourly'!G$47*'Rate Calculations &amp; PHF'!$BC7</f>
        <v>231.23788968181074</v>
      </c>
      <c r="G46" s="21">
        <f>'FREEVAL INPUT 2023 Hourly'!H$47*'Rate Calculations &amp; PHF'!$BC7</f>
        <v>1831.1838597183394</v>
      </c>
      <c r="H46" s="21">
        <f>'FREEVAL INPUT 2023 Hourly'!I$47*'Rate Calculations &amp; PHF'!$BC7</f>
        <v>279.68773323419015</v>
      </c>
      <c r="I46" s="21">
        <f>'FREEVAL INPUT 2023 Hourly'!J$47*'Rate Calculations &amp; PHF'!$BC7</f>
        <v>1551.496126484149</v>
      </c>
      <c r="J46" s="21">
        <f>'FREEVAL INPUT 2023 Hourly'!K$47*'Rate Calculations &amp; PHF'!$BC7</f>
        <v>1195.8302294973641</v>
      </c>
      <c r="K46" s="21">
        <f>'FREEVAL INPUT 2023 Hourly'!L$47*'Rate Calculations &amp; PHF'!$BC7</f>
        <v>2747.3263559815132</v>
      </c>
      <c r="L46" s="21">
        <f>'FREEVAL INPUT 2023 Hourly'!M$47*'Rate Calculations &amp; PHF'!$BC7</f>
        <v>168.47331962531928</v>
      </c>
      <c r="M46" s="21">
        <f>'FREEVAL INPUT 2023 Hourly'!N$47*'Rate Calculations &amp; PHF'!$BC7</f>
        <v>2578.853036356194</v>
      </c>
      <c r="N46" s="21">
        <f>'FREEVAL INPUT 2023 Hourly'!O$47*'Rate Calculations &amp; PHF'!$BC7</f>
        <v>956.88441015949297</v>
      </c>
      <c r="O46" s="21">
        <f>'FREEVAL INPUT 2023 Hourly'!P$47*'Rate Calculations &amp; PHF'!$BC7</f>
        <v>3535.7374465156868</v>
      </c>
      <c r="P46" s="21">
        <f>'FREEVAL INPUT 2023 Hourly'!Q$47*'Rate Calculations &amp; PHF'!$BC7</f>
        <v>83.686093408655324</v>
      </c>
      <c r="Q46" s="21">
        <f>'FREEVAL INPUT 2023 Hourly'!R$47*'Rate Calculations &amp; PHF'!$BC7</f>
        <v>3452.0513531070314</v>
      </c>
    </row>
    <row r="47" spans="1:17" x14ac:dyDescent="0.25">
      <c r="A47" s="38"/>
      <c r="B47" s="20">
        <v>0.35416666666666702</v>
      </c>
      <c r="C47" s="21">
        <f>'FREEVAL INPUT 2023 Hourly'!D$47*'Rate Calculations &amp; PHF'!$BC8</f>
        <v>1686.6326503470075</v>
      </c>
      <c r="D47" s="21">
        <f>'FREEVAL INPUT 2023 Hourly'!E$47*'Rate Calculations &amp; PHF'!$BC8</f>
        <v>126.68532956139204</v>
      </c>
      <c r="E47" s="21">
        <f>'FREEVAL INPUT 2023 Hourly'!F$47*'Rate Calculations &amp; PHF'!$BC8</f>
        <v>1559.9473207856151</v>
      </c>
      <c r="F47" s="21">
        <f>'FREEVAL INPUT 2023 Hourly'!G$47*'Rate Calculations &amp; PHF'!$BC8</f>
        <v>225.45694243976547</v>
      </c>
      <c r="G47" s="21">
        <f>'FREEVAL INPUT 2023 Hourly'!H$47*'Rate Calculations &amp; PHF'!$BC8</f>
        <v>1785.4042632253809</v>
      </c>
      <c r="H47" s="21">
        <f>'FREEVAL INPUT 2023 Hourly'!I$47*'Rate Calculations &amp; PHF'!$BC8</f>
        <v>272.69553990333537</v>
      </c>
      <c r="I47" s="21">
        <f>'FREEVAL INPUT 2023 Hourly'!J$47*'Rate Calculations &amp; PHF'!$BC8</f>
        <v>1512.7087233220452</v>
      </c>
      <c r="J47" s="21">
        <f>'FREEVAL INPUT 2023 Hourly'!K$47*'Rate Calculations &amp; PHF'!$BC8</f>
        <v>1165.9344737599299</v>
      </c>
      <c r="K47" s="21">
        <f>'FREEVAL INPUT 2023 Hourly'!L$47*'Rate Calculations &amp; PHF'!$BC8</f>
        <v>2678.6431970819754</v>
      </c>
      <c r="L47" s="21">
        <f>'FREEVAL INPUT 2023 Hourly'!M$47*'Rate Calculations &amp; PHF'!$BC8</f>
        <v>164.26148663468629</v>
      </c>
      <c r="M47" s="21">
        <f>'FREEVAL INPUT 2023 Hourly'!N$47*'Rate Calculations &amp; PHF'!$BC8</f>
        <v>2514.3817104472892</v>
      </c>
      <c r="N47" s="21">
        <f>'FREEVAL INPUT 2023 Hourly'!O$47*'Rate Calculations &amp; PHF'!$BC8</f>
        <v>932.96229990550557</v>
      </c>
      <c r="O47" s="21">
        <f>'FREEVAL INPUT 2023 Hourly'!P$47*'Rate Calculations &amp; PHF'!$BC8</f>
        <v>3447.3440103527946</v>
      </c>
      <c r="P47" s="21">
        <f>'FREEVAL INPUT 2023 Hourly'!Q$47*'Rate Calculations &amp; PHF'!$BC8</f>
        <v>81.593941073438941</v>
      </c>
      <c r="Q47" s="21">
        <f>'FREEVAL INPUT 2023 Hourly'!R$47*'Rate Calculations &amp; PHF'!$BC8</f>
        <v>3365.7500692793556</v>
      </c>
    </row>
    <row r="48" spans="1:17" s="81" customFormat="1" x14ac:dyDescent="0.25">
      <c r="A48" s="107"/>
      <c r="B48" s="108">
        <v>0.36458333333333298</v>
      </c>
      <c r="C48" s="109">
        <f>'FREEVAL INPUT 2023 Hourly'!D$47*'Rate Calculations &amp; PHF'!$BC9</f>
        <v>1686.6326503470075</v>
      </c>
      <c r="D48" s="109">
        <f>'FREEVAL INPUT 2023 Hourly'!E$47*'Rate Calculations &amp; PHF'!$BC9</f>
        <v>126.68532956139204</v>
      </c>
      <c r="E48" s="109">
        <f>'FREEVAL INPUT 2023 Hourly'!F$47*'Rate Calculations &amp; PHF'!$BC9</f>
        <v>1559.9473207856151</v>
      </c>
      <c r="F48" s="109">
        <f>'FREEVAL INPUT 2023 Hourly'!G$47*'Rate Calculations &amp; PHF'!$BC9</f>
        <v>225.45694243976547</v>
      </c>
      <c r="G48" s="109">
        <f>'FREEVAL INPUT 2023 Hourly'!H$47*'Rate Calculations &amp; PHF'!$BC9</f>
        <v>1785.4042632253809</v>
      </c>
      <c r="H48" s="109">
        <f>'FREEVAL INPUT 2023 Hourly'!I$47*'Rate Calculations &amp; PHF'!$BC9</f>
        <v>272.69553990333537</v>
      </c>
      <c r="I48" s="109">
        <f>'FREEVAL INPUT 2023 Hourly'!J$47*'Rate Calculations &amp; PHF'!$BC9</f>
        <v>1512.7087233220452</v>
      </c>
      <c r="J48" s="109">
        <f>'FREEVAL INPUT 2023 Hourly'!K$47*'Rate Calculations &amp; PHF'!$BC9</f>
        <v>1165.9344737599299</v>
      </c>
      <c r="K48" s="109">
        <f>'FREEVAL INPUT 2023 Hourly'!L$47*'Rate Calculations &amp; PHF'!$BC9</f>
        <v>2678.6431970819754</v>
      </c>
      <c r="L48" s="109">
        <f>'FREEVAL INPUT 2023 Hourly'!M$47*'Rate Calculations &amp; PHF'!$BC9</f>
        <v>164.26148663468629</v>
      </c>
      <c r="M48" s="109">
        <f>'FREEVAL INPUT 2023 Hourly'!N$47*'Rate Calculations &amp; PHF'!$BC9</f>
        <v>2514.3817104472892</v>
      </c>
      <c r="N48" s="109">
        <f>'FREEVAL INPUT 2023 Hourly'!O$47*'Rate Calculations &amp; PHF'!$BC9</f>
        <v>932.96229990550557</v>
      </c>
      <c r="O48" s="109">
        <f>'FREEVAL INPUT 2023 Hourly'!P$47*'Rate Calculations &amp; PHF'!$BC9</f>
        <v>3447.3440103527946</v>
      </c>
      <c r="P48" s="109">
        <f>'FREEVAL INPUT 2023 Hourly'!Q$47*'Rate Calculations &amp; PHF'!$BC9</f>
        <v>81.593941073438941</v>
      </c>
      <c r="Q48" s="109">
        <f>'FREEVAL INPUT 2023 Hourly'!R$47*'Rate Calculations &amp; PHF'!$BC9</f>
        <v>3365.7500692793556</v>
      </c>
    </row>
    <row r="49" spans="1:17" x14ac:dyDescent="0.25">
      <c r="A49" s="38"/>
      <c r="B49" s="20">
        <v>0.625</v>
      </c>
      <c r="C49" s="21">
        <f>'FREEVAL INPUT 2023 Hourly'!D$54*'Rate Calculations &amp; PHF'!$BB6</f>
        <v>1518.0767457610875</v>
      </c>
      <c r="D49" s="21">
        <f>'FREEVAL INPUT 2023 Hourly'!E$54*'Rate Calculations &amp; PHF'!$BB6</f>
        <v>171.77671804934511</v>
      </c>
      <c r="E49" s="21">
        <f>'FREEVAL INPUT 2023 Hourly'!F$54*'Rate Calculations &amp; PHF'!$BB6</f>
        <v>1346.3000277117426</v>
      </c>
      <c r="F49" s="21">
        <f>'FREEVAL INPUT 2023 Hourly'!G$54*'Rate Calculations &amp; PHF'!$BB6</f>
        <v>84.814754536864157</v>
      </c>
      <c r="G49" s="21">
        <f>'FREEVAL INPUT 2023 Hourly'!H$54*'Rate Calculations &amp; PHF'!$BB6</f>
        <v>1431.1147822486066</v>
      </c>
      <c r="H49" s="21">
        <f>'FREEVAL INPUT 2023 Hourly'!I$54*'Rate Calculations &amp; PHF'!$BB6</f>
        <v>255.51786809840084</v>
      </c>
      <c r="I49" s="21">
        <f>'FREEVAL INPUT 2023 Hourly'!J$54*'Rate Calculations &amp; PHF'!$BB6</f>
        <v>1175.5969141502055</v>
      </c>
      <c r="J49" s="21">
        <f>'FREEVAL INPUT 2023 Hourly'!K$54*'Rate Calculations &amp; PHF'!$BB6</f>
        <v>835.26429151494062</v>
      </c>
      <c r="K49" s="21">
        <f>'FREEVAL INPUT 2023 Hourly'!L$54*'Rate Calculations &amp; PHF'!$BB6</f>
        <v>2010.8612056651461</v>
      </c>
      <c r="L49" s="21">
        <f>'FREEVAL INPUT 2023 Hourly'!M$54*'Rate Calculations &amp; PHF'!$BB6</f>
        <v>158.89346419564421</v>
      </c>
      <c r="M49" s="21">
        <f>'FREEVAL INPUT 2023 Hourly'!N$54*'Rate Calculations &amp; PHF'!$BB6</f>
        <v>1851.967741469502</v>
      </c>
      <c r="N49" s="21">
        <f>'FREEVAL INPUT 2023 Hourly'!O$54*'Rate Calculations &amp; PHF'!$BB6</f>
        <v>853.51556780768351</v>
      </c>
      <c r="O49" s="21">
        <f>'FREEVAL INPUT 2023 Hourly'!P$54*'Rate Calculations &amp; PHF'!$BB6</f>
        <v>2705.483309277186</v>
      </c>
      <c r="P49" s="21">
        <f>'FREEVAL INPUT 2023 Hourly'!Q$54*'Rate Calculations &amp; PHF'!$BB6</f>
        <v>111.65486673207434</v>
      </c>
      <c r="Q49" s="21">
        <f>'FREEVAL INPUT 2023 Hourly'!R$54*'Rate Calculations &amp; PHF'!$BB6</f>
        <v>2593.8284425451116</v>
      </c>
    </row>
    <row r="50" spans="1:17" x14ac:dyDescent="0.25">
      <c r="A50" s="38"/>
      <c r="B50" s="20">
        <v>0.63541666666666696</v>
      </c>
      <c r="C50" s="21">
        <f>'FREEVAL INPUT 2023 Hourly'!D$54*'Rate Calculations &amp; PHF'!$BB7</f>
        <v>1518.0767457610875</v>
      </c>
      <c r="D50" s="21">
        <f>'FREEVAL INPUT 2023 Hourly'!E$54*'Rate Calculations &amp; PHF'!$BB7</f>
        <v>171.77671804934511</v>
      </c>
      <c r="E50" s="21">
        <f>'FREEVAL INPUT 2023 Hourly'!F$54*'Rate Calculations &amp; PHF'!$BB7</f>
        <v>1346.3000277117426</v>
      </c>
      <c r="F50" s="21">
        <f>'FREEVAL INPUT 2023 Hourly'!G$54*'Rate Calculations &amp; PHF'!$BB7</f>
        <v>84.814754536864157</v>
      </c>
      <c r="G50" s="21">
        <f>'FREEVAL INPUT 2023 Hourly'!H$54*'Rate Calculations &amp; PHF'!$BB7</f>
        <v>1431.1147822486066</v>
      </c>
      <c r="H50" s="21">
        <f>'FREEVAL INPUT 2023 Hourly'!I$54*'Rate Calculations &amp; PHF'!$BB7</f>
        <v>255.51786809840084</v>
      </c>
      <c r="I50" s="21">
        <f>'FREEVAL INPUT 2023 Hourly'!J$54*'Rate Calculations &amp; PHF'!$BB7</f>
        <v>1175.5969141502055</v>
      </c>
      <c r="J50" s="21">
        <f>'FREEVAL INPUT 2023 Hourly'!K$54*'Rate Calculations &amp; PHF'!$BB7</f>
        <v>835.26429151494062</v>
      </c>
      <c r="K50" s="21">
        <f>'FREEVAL INPUT 2023 Hourly'!L$54*'Rate Calculations &amp; PHF'!$BB7</f>
        <v>2010.8612056651461</v>
      </c>
      <c r="L50" s="21">
        <f>'FREEVAL INPUT 2023 Hourly'!M$54*'Rate Calculations &amp; PHF'!$BB7</f>
        <v>158.89346419564421</v>
      </c>
      <c r="M50" s="21">
        <f>'FREEVAL INPUT 2023 Hourly'!N$54*'Rate Calculations &amp; PHF'!$BB7</f>
        <v>1851.967741469502</v>
      </c>
      <c r="N50" s="21">
        <f>'FREEVAL INPUT 2023 Hourly'!O$54*'Rate Calculations &amp; PHF'!$BB7</f>
        <v>853.51556780768351</v>
      </c>
      <c r="O50" s="21">
        <f>'FREEVAL INPUT 2023 Hourly'!P$54*'Rate Calculations &amp; PHF'!$BB7</f>
        <v>2705.483309277186</v>
      </c>
      <c r="P50" s="21">
        <f>'FREEVAL INPUT 2023 Hourly'!Q$54*'Rate Calculations &amp; PHF'!$BB7</f>
        <v>111.65486673207434</v>
      </c>
      <c r="Q50" s="21">
        <f>'FREEVAL INPUT 2023 Hourly'!R$54*'Rate Calculations &amp; PHF'!$BB7</f>
        <v>2593.8284425451116</v>
      </c>
    </row>
    <row r="51" spans="1:17" x14ac:dyDescent="0.25">
      <c r="A51" s="38"/>
      <c r="B51" s="20">
        <v>0.64583333333333304</v>
      </c>
      <c r="C51" s="21">
        <f>'FREEVAL INPUT 2023 Hourly'!D$54*'Rate Calculations &amp; PHF'!$BB8</f>
        <v>1557.0017905241923</v>
      </c>
      <c r="D51" s="21">
        <f>'FREEVAL INPUT 2023 Hourly'!E$54*'Rate Calculations &amp; PHF'!$BB8</f>
        <v>176.18124928137959</v>
      </c>
      <c r="E51" s="21">
        <f>'FREEVAL INPUT 2023 Hourly'!F$54*'Rate Calculations &amp; PHF'!$BB8</f>
        <v>1380.8205412428129</v>
      </c>
      <c r="F51" s="21">
        <f>'FREEVAL INPUT 2023 Hourly'!G$54*'Rate Calculations &amp; PHF'!$BB8</f>
        <v>86.989491832681196</v>
      </c>
      <c r="G51" s="21">
        <f>'FREEVAL INPUT 2023 Hourly'!H$54*'Rate Calculations &amp; PHF'!$BB8</f>
        <v>1467.8100330754939</v>
      </c>
      <c r="H51" s="21">
        <f>'FREEVAL INPUT 2023 Hourly'!I$54*'Rate Calculations &amp; PHF'!$BB8</f>
        <v>262.06960830605215</v>
      </c>
      <c r="I51" s="21">
        <f>'FREEVAL INPUT 2023 Hourly'!J$54*'Rate Calculations &amp; PHF'!$BB8</f>
        <v>1205.7404247694417</v>
      </c>
      <c r="J51" s="21">
        <f>'FREEVAL INPUT 2023 Hourly'!K$54*'Rate Calculations &amp; PHF'!$BB8</f>
        <v>856.68132463070833</v>
      </c>
      <c r="K51" s="21">
        <f>'FREEVAL INPUT 2023 Hourly'!L$54*'Rate Calculations &amp; PHF'!$BB8</f>
        <v>2062.42174940015</v>
      </c>
      <c r="L51" s="21">
        <f>'FREEVAL INPUT 2023 Hourly'!M$54*'Rate Calculations &amp; PHF'!$BB8</f>
        <v>162.96765558527613</v>
      </c>
      <c r="M51" s="21">
        <f>'FREEVAL INPUT 2023 Hourly'!N$54*'Rate Calculations &amp; PHF'!$BB8</f>
        <v>1899.4540938148739</v>
      </c>
      <c r="N51" s="21">
        <f>'FREEVAL INPUT 2023 Hourly'!O$54*'Rate Calculations &amp; PHF'!$BB8</f>
        <v>875.40058236685491</v>
      </c>
      <c r="O51" s="21">
        <f>'FREEVAL INPUT 2023 Hourly'!P$54*'Rate Calculations &amp; PHF'!$BB8</f>
        <v>2774.8546761817292</v>
      </c>
      <c r="P51" s="21">
        <f>'FREEVAL INPUT 2023 Hourly'!Q$54*'Rate Calculations &amp; PHF'!$BB8</f>
        <v>114.51781203289676</v>
      </c>
      <c r="Q51" s="21">
        <f>'FREEVAL INPUT 2023 Hourly'!R$54*'Rate Calculations &amp; PHF'!$BB8</f>
        <v>2660.3368641488323</v>
      </c>
    </row>
    <row r="52" spans="1:17" x14ac:dyDescent="0.25">
      <c r="A52" s="38"/>
      <c r="B52" s="20">
        <v>0.65625</v>
      </c>
      <c r="C52" s="21">
        <f>'FREEVAL INPUT 2023 Hourly'!D$54*'Rate Calculations &amp; PHF'!$BB9</f>
        <v>1634.8518800504021</v>
      </c>
      <c r="D52" s="21">
        <f>'FREEVAL INPUT 2023 Hourly'!E$54*'Rate Calculations &amp; PHF'!$BB9</f>
        <v>184.99031174544859</v>
      </c>
      <c r="E52" s="21">
        <f>'FREEVAL INPUT 2023 Hourly'!F$54*'Rate Calculations &amp; PHF'!$BB9</f>
        <v>1449.8615683049536</v>
      </c>
      <c r="F52" s="21">
        <f>'FREEVAL INPUT 2023 Hourly'!G$54*'Rate Calculations &amp; PHF'!$BB9</f>
        <v>91.338966424315259</v>
      </c>
      <c r="G52" s="21">
        <f>'FREEVAL INPUT 2023 Hourly'!H$54*'Rate Calculations &amp; PHF'!$BB9</f>
        <v>1541.2005347292686</v>
      </c>
      <c r="H52" s="21">
        <f>'FREEVAL INPUT 2023 Hourly'!I$54*'Rate Calculations &amp; PHF'!$BB9</f>
        <v>275.17308872135476</v>
      </c>
      <c r="I52" s="21">
        <f>'FREEVAL INPUT 2023 Hourly'!J$54*'Rate Calculations &amp; PHF'!$BB9</f>
        <v>1266.0274460079138</v>
      </c>
      <c r="J52" s="21">
        <f>'FREEVAL INPUT 2023 Hourly'!K$54*'Rate Calculations &amp; PHF'!$BB9</f>
        <v>899.51539086224375</v>
      </c>
      <c r="K52" s="21">
        <f>'FREEVAL INPUT 2023 Hourly'!L$54*'Rate Calculations &amp; PHF'!$BB9</f>
        <v>2165.5428368701578</v>
      </c>
      <c r="L52" s="21">
        <f>'FREEVAL INPUT 2023 Hourly'!M$54*'Rate Calculations &amp; PHF'!$BB9</f>
        <v>171.11603836453995</v>
      </c>
      <c r="M52" s="21">
        <f>'FREEVAL INPUT 2023 Hourly'!N$54*'Rate Calculations &amp; PHF'!$BB9</f>
        <v>1994.4267985056176</v>
      </c>
      <c r="N52" s="21">
        <f>'FREEVAL INPUT 2023 Hourly'!O$54*'Rate Calculations &amp; PHF'!$BB9</f>
        <v>919.1706114851977</v>
      </c>
      <c r="O52" s="21">
        <f>'FREEVAL INPUT 2023 Hourly'!P$54*'Rate Calculations &amp; PHF'!$BB9</f>
        <v>2913.5974099908158</v>
      </c>
      <c r="P52" s="21">
        <f>'FREEVAL INPUT 2023 Hourly'!Q$54*'Rate Calculations &amp; PHF'!$BB9</f>
        <v>120.24370263454161</v>
      </c>
      <c r="Q52" s="21">
        <f>'FREEVAL INPUT 2023 Hourly'!R$54*'Rate Calculations &amp; PHF'!$BB9</f>
        <v>2793.3537073562738</v>
      </c>
    </row>
    <row r="53" spans="1:17" s="78" customFormat="1" x14ac:dyDescent="0.25">
      <c r="A53" s="85"/>
      <c r="B53" s="86">
        <v>0.66666666666666696</v>
      </c>
      <c r="C53" s="87">
        <f>E53+D53</f>
        <v>1487.8709382151033</v>
      </c>
      <c r="D53" s="87">
        <f>'FREEVAL INPUT 2023 Hourly'!E$55*(1-(1/(VLOOKUP('FREEVAL INPUT 2020 Hourly'!E$55,'Rate Calculations &amp; PHF'!$AX$6:$AZ$11,3,TRUE))-0.9)/3)</f>
        <v>215.66666666666666</v>
      </c>
      <c r="E53" s="87">
        <f>G53-F53</f>
        <v>1272.2042715484365</v>
      </c>
      <c r="F53" s="87">
        <f>'FREEVAL INPUT 2023 Hourly'!G$55*(1-(1/(VLOOKUP('FREEVAL INPUT 2020 Hourly'!G$55,'Rate Calculations &amp; PHF'!$AX$6:$AZ$11,3,TRUE))-0.9)/3)</f>
        <v>342.25362318840581</v>
      </c>
      <c r="G53" s="87">
        <f>'FREEVAL INPUT 2023 Hourly'!H$55*(1-(1/(VLOOKUP('FREEVAL INPUT 2020 Hourly'!H$55,'Rate Calculations &amp; PHF'!$AX$6:$AZ$11,3,TRUE))-0.9)/3)</f>
        <v>1614.4578947368423</v>
      </c>
      <c r="H53" s="87">
        <f>'FREEVAL INPUT 2023 Hourly'!I$55*(1-(1/(VLOOKUP('FREEVAL INPUT 2020 Hourly'!I$55,'Rate Calculations &amp; PHF'!$AX$6:$AZ$11,3,TRUE))-0.9)/3)</f>
        <v>265.36376811594204</v>
      </c>
      <c r="I53" s="87">
        <f>G53-H53</f>
        <v>1349.0941266209002</v>
      </c>
      <c r="J53" s="87">
        <f>'FREEVAL INPUT 2023 Hourly'!K$55*(1-(1/(VLOOKUP('FREEVAL INPUT 2020 Hourly'!K$55,'Rate Calculations &amp; PHF'!$AX$6:$AZ$11,3,TRUE))-0.9)/3)</f>
        <v>830.47096774193551</v>
      </c>
      <c r="K53" s="87">
        <f>I53+J53</f>
        <v>2179.5650943628357</v>
      </c>
      <c r="L53" s="87">
        <f>'FREEVAL INPUT 2023 Hourly'!M$55*(1-(1/(VLOOKUP('FREEVAL INPUT 2020 Hourly'!M$55,'Rate Calculations &amp; PHF'!$AX$6:$AZ$11,3,TRUE))-0.9)/3)</f>
        <v>233.48260869565217</v>
      </c>
      <c r="M53" s="87">
        <f>K53-L53</f>
        <v>1946.0824856671834</v>
      </c>
      <c r="N53" s="87">
        <f>'FREEVAL INPUT 2023 Hourly'!O$55*(1-(1/(VLOOKUP('FREEVAL INPUT 2020 Hourly'!O$55,'Rate Calculations &amp; PHF'!$AX$6:$AZ$11,3,TRUE))-0.9)/3)</f>
        <v>785.27526881720428</v>
      </c>
      <c r="O53" s="87">
        <f>M53+N53</f>
        <v>2731.3577544843874</v>
      </c>
      <c r="P53" s="87">
        <f>'FREEVAL INPUT 2023 Hourly'!Q$55*(1-(1/(VLOOKUP('FREEVAL INPUT 2020 Hourly'!Q$55,'Rate Calculations &amp; PHF'!$AX$6:$AZ$11,3,TRUE))-0.9)/3)</f>
        <v>99.020689655172418</v>
      </c>
      <c r="Q53" s="87">
        <f>O53+P53</f>
        <v>2830.3784441395601</v>
      </c>
    </row>
    <row r="54" spans="1:17" s="78" customFormat="1" x14ac:dyDescent="0.25">
      <c r="A54" s="85"/>
      <c r="B54" s="86">
        <v>0.67708333333333304</v>
      </c>
      <c r="C54" s="87">
        <f>E54+D54</f>
        <v>1566.170938215103</v>
      </c>
      <c r="D54" s="87">
        <f>'FREEVAL INPUT 2023 Hourly'!E$55*(1-(1/(VLOOKUP('FREEVAL INPUT 2020 Hourly'!E$55,'Rate Calculations &amp; PHF'!$AX$6:$AZ$11,3,TRUE))-1.05)/3)</f>
        <v>227.16666666666669</v>
      </c>
      <c r="E54" s="87">
        <f>G54-F54</f>
        <v>1339.0042715484362</v>
      </c>
      <c r="F54" s="87">
        <f>'FREEVAL INPUT 2023 Hourly'!G$55*(1-(1/(VLOOKUP('FREEVAL INPUT 2020 Hourly'!G$55,'Rate Calculations &amp; PHF'!$AX$6:$AZ$11,3,TRUE))-1.05)/3)</f>
        <v>360.50362318840581</v>
      </c>
      <c r="G54" s="87">
        <f>'FREEVAL INPUT 2023 Hourly'!H$55*(1-(1/(VLOOKUP('FREEVAL INPUT 2020 Hourly'!H$55,'Rate Calculations &amp; PHF'!$AX$6:$AZ$11,3,TRUE))-1.05)/3)</f>
        <v>1699.507894736842</v>
      </c>
      <c r="H54" s="87">
        <f>'FREEVAL INPUT 2023 Hourly'!I$55*(1-(1/(VLOOKUP('FREEVAL INPUT 2020 Hourly'!I$55,'Rate Calculations &amp; PHF'!$AX$6:$AZ$11,3,TRUE))-1.05)/3)</f>
        <v>279.51376811594201</v>
      </c>
      <c r="I54" s="87">
        <f>G54-H54</f>
        <v>1419.9941266209</v>
      </c>
      <c r="J54" s="87">
        <f>'FREEVAL INPUT 2023 Hourly'!K$55*(1-(1/(VLOOKUP('FREEVAL INPUT 2020 Hourly'!K$55,'Rate Calculations &amp; PHF'!$AX$6:$AZ$11,3,TRUE))-1.05)/3)</f>
        <v>874.57096774193553</v>
      </c>
      <c r="K54" s="87">
        <f>I54+J54</f>
        <v>2294.5650943628357</v>
      </c>
      <c r="L54" s="87">
        <f>'FREEVAL INPUT 2023 Hourly'!M$55*(1-(1/(VLOOKUP('FREEVAL INPUT 2020 Hourly'!M$55,'Rate Calculations &amp; PHF'!$AX$6:$AZ$11,3,TRUE))-1.05)/3)</f>
        <v>245.93260869565219</v>
      </c>
      <c r="M54" s="87">
        <f>K54-L54</f>
        <v>2048.6324856671836</v>
      </c>
      <c r="N54" s="87">
        <f>'FREEVAL INPUT 2023 Hourly'!O$55*(1-(1/(VLOOKUP('FREEVAL INPUT 2020 Hourly'!O$55,'Rate Calculations &amp; PHF'!$AX$6:$AZ$11,3,TRUE))-1.05)/3)</f>
        <v>826.97526881720432</v>
      </c>
      <c r="O54" s="87">
        <f>M54+N54</f>
        <v>2875.6077544843879</v>
      </c>
      <c r="P54" s="87">
        <f>'FREEVAL INPUT 2023 Hourly'!Q$55*(1-(1/(VLOOKUP('FREEVAL INPUT 2020 Hourly'!Q$55,'Rate Calculations &amp; PHF'!$AX$6:$AZ$11,3,TRUE))-1.05)/3)</f>
        <v>104.42068965517242</v>
      </c>
      <c r="Q54" s="87">
        <f>O54+P54</f>
        <v>2980.0284441395602</v>
      </c>
    </row>
    <row r="55" spans="1:17" s="78" customFormat="1" x14ac:dyDescent="0.25">
      <c r="A55" s="85"/>
      <c r="B55" s="86">
        <v>0.6875</v>
      </c>
      <c r="C55" s="87">
        <f>E55+D55</f>
        <v>1643.787185354691</v>
      </c>
      <c r="D55" s="87">
        <f>('FREEVAL INPUT 2023 Hourly'!E55*(1/((VLOOKUP('FREEVAL INPUT 2020 Hourly'!E55,'Rate Calculations &amp; PHF'!$AX$6:$AZ$11,3,TRUE)))))</f>
        <v>250</v>
      </c>
      <c r="E55" s="87">
        <f>G55-F55</f>
        <v>1393.787185354691</v>
      </c>
      <c r="F55" s="87">
        <f>('FREEVAL INPUT 2023 Hourly'!G55*(1/((VLOOKUP('FREEVAL INPUT 2020 Hourly'!G55,'Rate Calculations &amp; PHF'!$AX$6:$AZ$11,3,TRUE)))))</f>
        <v>396.73913043478257</v>
      </c>
      <c r="G55" s="87">
        <f>('FREEVAL INPUT 2023 Hourly'!H55*(1/((VLOOKUP('FREEVAL INPUT 2020 Hourly'!H55,'Rate Calculations &amp; PHF'!$AX$6:$AZ$11,3,TRUE)))))</f>
        <v>1790.5263157894735</v>
      </c>
      <c r="H55" s="87">
        <f>('FREEVAL INPUT 2023 Hourly'!I55*(1/((VLOOKUP('FREEVAL INPUT 2020 Hourly'!I55,'Rate Calculations &amp; PHF'!$AX$6:$AZ$11,3,TRUE)))))</f>
        <v>307.60869565217388</v>
      </c>
      <c r="I55" s="87">
        <f>G55-H55</f>
        <v>1482.9176201372998</v>
      </c>
      <c r="J55" s="87">
        <f>('FREEVAL INPUT 2023 Hourly'!K55*(1/((VLOOKUP('FREEVAL INPUT 2020 Hourly'!K55,'Rate Calculations &amp; PHF'!$AX$6:$AZ$11,3,TRUE)))))</f>
        <v>948.38709677419354</v>
      </c>
      <c r="K55" s="87">
        <f>I55+J55</f>
        <v>2431.3047169114934</v>
      </c>
      <c r="L55" s="87">
        <f>('FREEVAL INPUT 2023 Hourly'!M55*(1/((VLOOKUP('FREEVAL INPUT 2020 Hourly'!M55,'Rate Calculations &amp; PHF'!$AX$6:$AZ$11,3,TRUE)))))</f>
        <v>270.65217391304344</v>
      </c>
      <c r="M55" s="87">
        <f>K55-L55</f>
        <v>2160.6525429984499</v>
      </c>
      <c r="N55" s="87">
        <f>('FREEVAL INPUT 2023 Hourly'!O55*(1/((VLOOKUP('FREEVAL INPUT 2020 Hourly'!O55,'Rate Calculations &amp; PHF'!$AX$6:$AZ$11,3,TRUE)))))</f>
        <v>896.77419354838707</v>
      </c>
      <c r="O55" s="87">
        <f>M55+N55</f>
        <v>3057.4267365468368</v>
      </c>
      <c r="P55" s="87">
        <f>('FREEVAL INPUT 2023 Hourly'!Q55*(1/((VLOOKUP('FREEVAL INPUT 2020 Hourly'!Q55,'Rate Calculations &amp; PHF'!$AX$6:$AZ$11,3,TRUE)))))</f>
        <v>124.13793103448275</v>
      </c>
      <c r="Q55" s="87">
        <f>O55+P55</f>
        <v>3181.5646675813196</v>
      </c>
    </row>
    <row r="56" spans="1:17" s="78" customFormat="1" x14ac:dyDescent="0.25">
      <c r="A56" s="85"/>
      <c r="B56" s="86">
        <v>0.69791666666666696</v>
      </c>
      <c r="C56" s="87">
        <f>E56+D56</f>
        <v>1566.170938215103</v>
      </c>
      <c r="D56" s="87">
        <f>'FREEVAL INPUT 2023 Hourly'!E$55*(1-(1/(VLOOKUP('FREEVAL INPUT 2020 Hourly'!E$55,'Rate Calculations &amp; PHF'!$AX$6:$AZ$11,3,TRUE))-1.05)/3)</f>
        <v>227.16666666666669</v>
      </c>
      <c r="E56" s="87">
        <f>G56-F56</f>
        <v>1339.0042715484362</v>
      </c>
      <c r="F56" s="87">
        <f>'FREEVAL INPUT 2023 Hourly'!G$55*(1-(1/(VLOOKUP('FREEVAL INPUT 2020 Hourly'!G$55,'Rate Calculations &amp; PHF'!$AX$6:$AZ$11,3,TRUE))-1.05)/3)</f>
        <v>360.50362318840581</v>
      </c>
      <c r="G56" s="87">
        <f>'FREEVAL INPUT 2023 Hourly'!H$55*(1-(1/(VLOOKUP('FREEVAL INPUT 2020 Hourly'!H$55,'Rate Calculations &amp; PHF'!$AX$6:$AZ$11,3,TRUE))-1.05)/3)</f>
        <v>1699.507894736842</v>
      </c>
      <c r="H56" s="87">
        <f>'FREEVAL INPUT 2023 Hourly'!I$55*(1-(1/(VLOOKUP('FREEVAL INPUT 2020 Hourly'!I$55,'Rate Calculations &amp; PHF'!$AX$6:$AZ$11,3,TRUE))-1.05)/3)</f>
        <v>279.51376811594201</v>
      </c>
      <c r="I56" s="87">
        <f>G56-H56</f>
        <v>1419.9941266209</v>
      </c>
      <c r="J56" s="87">
        <f>'FREEVAL INPUT 2023 Hourly'!K$55*(1-(1/(VLOOKUP('FREEVAL INPUT 2020 Hourly'!K$55,'Rate Calculations &amp; PHF'!$AX$6:$AZ$11,3,TRUE))-1.05)/3)</f>
        <v>874.57096774193553</v>
      </c>
      <c r="K56" s="87">
        <f>I56+J56</f>
        <v>2294.5650943628357</v>
      </c>
      <c r="L56" s="87">
        <f>'FREEVAL INPUT 2023 Hourly'!M$55*(1-(1/(VLOOKUP('FREEVAL INPUT 2020 Hourly'!M$55,'Rate Calculations &amp; PHF'!$AX$6:$AZ$11,3,TRUE))-1.05)/3)</f>
        <v>245.93260869565219</v>
      </c>
      <c r="M56" s="87">
        <f>K56-L56</f>
        <v>2048.6324856671836</v>
      </c>
      <c r="N56" s="87">
        <f>'FREEVAL INPUT 2023 Hourly'!O$55*(1-(1/(VLOOKUP('FREEVAL INPUT 2020 Hourly'!O$55,'Rate Calculations &amp; PHF'!$AX$6:$AZ$11,3,TRUE))-1.05)/3)</f>
        <v>826.97526881720432</v>
      </c>
      <c r="O56" s="87">
        <f>M56+N56</f>
        <v>2875.6077544843879</v>
      </c>
      <c r="P56" s="87">
        <f>'FREEVAL INPUT 2023 Hourly'!Q$55*(1-(1/(VLOOKUP('FREEVAL INPUT 2020 Hourly'!Q$55,'Rate Calculations &amp; PHF'!$AX$6:$AZ$11,3,TRUE))-1.05)/3)</f>
        <v>104.42068965517242</v>
      </c>
      <c r="Q56" s="87">
        <f>O56+P56</f>
        <v>2980.0284441395602</v>
      </c>
    </row>
    <row r="57" spans="1:17" x14ac:dyDescent="0.25">
      <c r="A57" s="38"/>
      <c r="B57" s="20">
        <v>0.70833333333333304</v>
      </c>
      <c r="C57" s="21">
        <f>'FREEVAL INPUT 2023 Hourly'!D$56*'Rate Calculations &amp; PHF'!$BC6</f>
        <v>1654.5071006733558</v>
      </c>
      <c r="D57" s="21">
        <f>'FREEVAL INPUT 2023 Hourly'!E$56*'Rate Calculations &amp; PHF'!$BC6</f>
        <v>232.39407913021981</v>
      </c>
      <c r="E57" s="21">
        <f>'FREEVAL INPUT 2023 Hourly'!F$56*'Rate Calculations &amp; PHF'!$BC6</f>
        <v>1422.113021543136</v>
      </c>
      <c r="F57" s="21">
        <f>'FREEVAL INPUT 2023 Hourly'!G$56*'Rate Calculations &amp; PHF'!$BC6</f>
        <v>121.39989208295064</v>
      </c>
      <c r="G57" s="21">
        <f>'FREEVAL INPUT 2023 Hourly'!H$56*'Rate Calculations &amp; PHF'!$BC6</f>
        <v>1543.5129136260869</v>
      </c>
      <c r="H57" s="21">
        <f>'FREEVAL INPUT 2023 Hourly'!I$56*'Rate Calculations &amp; PHF'!$BC6</f>
        <v>304.07782493158106</v>
      </c>
      <c r="I57" s="21">
        <f>'FREEVAL INPUT 2023 Hourly'!J$56*'Rate Calculations &amp; PHF'!$BC6</f>
        <v>1239.4350886945056</v>
      </c>
      <c r="J57" s="21">
        <f>'FREEVAL INPUT 2023 Hourly'!K$56*'Rate Calculations &amp; PHF'!$BC6</f>
        <v>973.51151556042328</v>
      </c>
      <c r="K57" s="21">
        <f>'FREEVAL INPUT 2023 Hourly'!L$56*'Rate Calculations &amp; PHF'!$BC6</f>
        <v>2212.9466042549288</v>
      </c>
      <c r="L57" s="21">
        <f>'FREEVAL INPUT 2023 Hourly'!M$56*'Rate Calculations &amp; PHF'!$BC6</f>
        <v>261.29881534044614</v>
      </c>
      <c r="M57" s="21">
        <f>'FREEVAL INPUT 2023 Hourly'!N$56*'Rate Calculations &amp; PHF'!$BC6</f>
        <v>1951.6477889144828</v>
      </c>
      <c r="N57" s="21">
        <f>'FREEVAL INPUT 2023 Hourly'!O$56*'Rate Calculations &amp; PHF'!$BC6</f>
        <v>845.17448678701828</v>
      </c>
      <c r="O57" s="21">
        <f>'FREEVAL INPUT 2023 Hourly'!P$56*'Rate Calculations &amp; PHF'!$BC6</f>
        <v>2796.822275701501</v>
      </c>
      <c r="P57" s="21">
        <f>'FREEVAL INPUT 2023 Hourly'!Q$56*'Rate Calculations &amp; PHF'!$BC6</f>
        <v>109.8379975988601</v>
      </c>
      <c r="Q57" s="21">
        <f>'FREEVAL INPUT 2023 Hourly'!R$56*'Rate Calculations &amp; PHF'!$BC6</f>
        <v>2686.9842781026409</v>
      </c>
    </row>
    <row r="58" spans="1:17" x14ac:dyDescent="0.25">
      <c r="A58" s="38"/>
      <c r="B58" s="20">
        <v>0.71875</v>
      </c>
      <c r="C58" s="21">
        <f>'FREEVAL INPUT 2023 Hourly'!D$56*'Rate Calculations &amp; PHF'!$BC7</f>
        <v>1575.7210482603389</v>
      </c>
      <c r="D58" s="21">
        <f>'FREEVAL INPUT 2023 Hourly'!E$56*'Rate Calculations &amp; PHF'!$BC7</f>
        <v>221.32769440973314</v>
      </c>
      <c r="E58" s="21">
        <f>'FREEVAL INPUT 2023 Hourly'!F$56*'Rate Calculations &amp; PHF'!$BC7</f>
        <v>1354.3933538506058</v>
      </c>
      <c r="F58" s="21">
        <f>'FREEVAL INPUT 2023 Hourly'!G$56*'Rate Calculations &amp; PHF'!$BC7</f>
        <v>115.61894484090537</v>
      </c>
      <c r="G58" s="21">
        <f>'FREEVAL INPUT 2023 Hourly'!H$56*'Rate Calculations &amp; PHF'!$BC7</f>
        <v>1470.0122986915112</v>
      </c>
      <c r="H58" s="21">
        <f>'FREEVAL INPUT 2023 Hourly'!I$56*'Rate Calculations &amp; PHF'!$BC7</f>
        <v>289.59792850626769</v>
      </c>
      <c r="I58" s="21">
        <f>'FREEVAL INPUT 2023 Hourly'!J$56*'Rate Calculations &amp; PHF'!$BC7</f>
        <v>1180.4143701852433</v>
      </c>
      <c r="J58" s="21">
        <f>'FREEVAL INPUT 2023 Hourly'!K$56*'Rate Calculations &amp; PHF'!$BC7</f>
        <v>927.15382434326023</v>
      </c>
      <c r="K58" s="21">
        <f>'FREEVAL INPUT 2023 Hourly'!L$56*'Rate Calculations &amp; PHF'!$BC7</f>
        <v>2107.5681945285037</v>
      </c>
      <c r="L58" s="21">
        <f>'FREEVAL INPUT 2023 Hourly'!M$56*'Rate Calculations &amp; PHF'!$BC7</f>
        <v>248.85601460994869</v>
      </c>
      <c r="M58" s="21">
        <f>'FREEVAL INPUT 2023 Hourly'!N$56*'Rate Calculations &amp; PHF'!$BC7</f>
        <v>1858.712179918555</v>
      </c>
      <c r="N58" s="21">
        <f>'FREEVAL INPUT 2023 Hourly'!O$56*'Rate Calculations &amp; PHF'!$BC7</f>
        <v>804.92808265430313</v>
      </c>
      <c r="O58" s="21">
        <f>'FREEVAL INPUT 2023 Hourly'!P$56*'Rate Calculations &amp; PHF'!$BC7</f>
        <v>2663.6402625728579</v>
      </c>
      <c r="P58" s="21">
        <f>'FREEVAL INPUT 2023 Hourly'!Q$56*'Rate Calculations &amp; PHF'!$BC7</f>
        <v>104.60761676081914</v>
      </c>
      <c r="Q58" s="21">
        <f>'FREEVAL INPUT 2023 Hourly'!R$56*'Rate Calculations &amp; PHF'!$BC7</f>
        <v>2559.0326458120389</v>
      </c>
    </row>
    <row r="59" spans="1:17" x14ac:dyDescent="0.25">
      <c r="A59" s="38"/>
      <c r="B59" s="20">
        <v>0.72916666666666696</v>
      </c>
      <c r="C59" s="21">
        <f>'FREEVAL INPUT 2023 Hourly'!D$56*'Rate Calculations &amp; PHF'!$BC8</f>
        <v>1536.3280220538304</v>
      </c>
      <c r="D59" s="21">
        <f>'FREEVAL INPUT 2023 Hourly'!E$56*'Rate Calculations &amp; PHF'!$BC8</f>
        <v>215.79450204948981</v>
      </c>
      <c r="E59" s="21">
        <f>'FREEVAL INPUT 2023 Hourly'!F$56*'Rate Calculations &amp; PHF'!$BC8</f>
        <v>1320.5335200043405</v>
      </c>
      <c r="F59" s="21">
        <f>'FREEVAL INPUT 2023 Hourly'!G$56*'Rate Calculations &amp; PHF'!$BC8</f>
        <v>112.72847121988273</v>
      </c>
      <c r="G59" s="21">
        <f>'FREEVAL INPUT 2023 Hourly'!H$56*'Rate Calculations &amp; PHF'!$BC8</f>
        <v>1433.2619912242235</v>
      </c>
      <c r="H59" s="21">
        <f>'FREEVAL INPUT 2023 Hourly'!I$56*'Rate Calculations &amp; PHF'!$BC8</f>
        <v>282.35798029361098</v>
      </c>
      <c r="I59" s="21">
        <f>'FREEVAL INPUT 2023 Hourly'!J$56*'Rate Calculations &amp; PHF'!$BC8</f>
        <v>1150.9040109306122</v>
      </c>
      <c r="J59" s="21">
        <f>'FREEVAL INPUT 2023 Hourly'!K$56*'Rate Calculations &amp; PHF'!$BC8</f>
        <v>903.97497873467864</v>
      </c>
      <c r="K59" s="21">
        <f>'FREEVAL INPUT 2023 Hourly'!L$56*'Rate Calculations &amp; PHF'!$BC8</f>
        <v>2054.8789896652911</v>
      </c>
      <c r="L59" s="21">
        <f>'FREEVAL INPUT 2023 Hourly'!M$56*'Rate Calculations &amp; PHF'!$BC8</f>
        <v>242.63461424469997</v>
      </c>
      <c r="M59" s="21">
        <f>'FREEVAL INPUT 2023 Hourly'!N$56*'Rate Calculations &amp; PHF'!$BC8</f>
        <v>1812.244375420591</v>
      </c>
      <c r="N59" s="21">
        <f>'FREEVAL INPUT 2023 Hourly'!O$56*'Rate Calculations &amp; PHF'!$BC8</f>
        <v>784.80488058794549</v>
      </c>
      <c r="O59" s="21">
        <f>'FREEVAL INPUT 2023 Hourly'!P$56*'Rate Calculations &amp; PHF'!$BC8</f>
        <v>2597.0492560085363</v>
      </c>
      <c r="P59" s="21">
        <f>'FREEVAL INPUT 2023 Hourly'!Q$56*'Rate Calculations &amp; PHF'!$BC8</f>
        <v>101.99242634179866</v>
      </c>
      <c r="Q59" s="21">
        <f>'FREEVAL INPUT 2023 Hourly'!R$56*'Rate Calculations &amp; PHF'!$BC8</f>
        <v>2495.0568296667379</v>
      </c>
    </row>
    <row r="60" spans="1:17" x14ac:dyDescent="0.25">
      <c r="A60" s="38"/>
      <c r="B60" s="20">
        <v>0.73958333333333304</v>
      </c>
      <c r="C60" s="21">
        <f>'FREEVAL INPUT 2023 Hourly'!D$56*'Rate Calculations &amp; PHF'!$BC9</f>
        <v>1536.3280220538304</v>
      </c>
      <c r="D60" s="21">
        <f>'FREEVAL INPUT 2023 Hourly'!E$56*'Rate Calculations &amp; PHF'!$BC9</f>
        <v>215.79450204948981</v>
      </c>
      <c r="E60" s="21">
        <f>'FREEVAL INPUT 2023 Hourly'!F$56*'Rate Calculations &amp; PHF'!$BC9</f>
        <v>1320.5335200043405</v>
      </c>
      <c r="F60" s="21">
        <f>'FREEVAL INPUT 2023 Hourly'!G$56*'Rate Calculations &amp; PHF'!$BC9</f>
        <v>112.72847121988273</v>
      </c>
      <c r="G60" s="21">
        <f>'FREEVAL INPUT 2023 Hourly'!H$56*'Rate Calculations &amp; PHF'!$BC9</f>
        <v>1433.2619912242235</v>
      </c>
      <c r="H60" s="21">
        <f>'FREEVAL INPUT 2023 Hourly'!I$56*'Rate Calculations &amp; PHF'!$BC9</f>
        <v>282.35798029361098</v>
      </c>
      <c r="I60" s="21">
        <f>'FREEVAL INPUT 2023 Hourly'!J$56*'Rate Calculations &amp; PHF'!$BC9</f>
        <v>1150.9040109306122</v>
      </c>
      <c r="J60" s="21">
        <f>'FREEVAL INPUT 2023 Hourly'!K$56*'Rate Calculations &amp; PHF'!$BC9</f>
        <v>903.97497873467864</v>
      </c>
      <c r="K60" s="21">
        <f>'FREEVAL INPUT 2023 Hourly'!L$56*'Rate Calculations &amp; PHF'!$BC9</f>
        <v>2054.8789896652911</v>
      </c>
      <c r="L60" s="21">
        <f>'FREEVAL INPUT 2023 Hourly'!M$56*'Rate Calculations &amp; PHF'!$BC9</f>
        <v>242.63461424469997</v>
      </c>
      <c r="M60" s="21">
        <f>'FREEVAL INPUT 2023 Hourly'!N$56*'Rate Calculations &amp; PHF'!$BC9</f>
        <v>1812.244375420591</v>
      </c>
      <c r="N60" s="21">
        <f>'FREEVAL INPUT 2023 Hourly'!O$56*'Rate Calculations &amp; PHF'!$BC9</f>
        <v>784.80488058794549</v>
      </c>
      <c r="O60" s="21">
        <f>'FREEVAL INPUT 2023 Hourly'!P$56*'Rate Calculations &amp; PHF'!$BC9</f>
        <v>2597.0492560085363</v>
      </c>
      <c r="P60" s="21">
        <f>'FREEVAL INPUT 2023 Hourly'!Q$56*'Rate Calculations &amp; PHF'!$BC9</f>
        <v>101.99242634179866</v>
      </c>
      <c r="Q60" s="21">
        <f>'FREEVAL INPUT 2023 Hourly'!R$56*'Rate Calculations &amp; PHF'!$BC9</f>
        <v>2495.0568296667379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0"/>
  <sheetViews>
    <sheetView zoomScale="55" zoomScaleNormal="55" workbookViewId="0">
      <selection activeCell="K63" sqref="K63"/>
    </sheetView>
  </sheetViews>
  <sheetFormatPr defaultRowHeight="15" x14ac:dyDescent="0.25"/>
  <cols>
    <col min="1" max="1" width="23.85546875" bestFit="1" customWidth="1"/>
    <col min="2" max="2" width="15.85546875" style="42" bestFit="1" customWidth="1"/>
    <col min="3" max="3" width="37.28515625" style="42" bestFit="1" customWidth="1"/>
    <col min="4" max="4" width="33.42578125" style="42" bestFit="1" customWidth="1"/>
    <col min="5" max="5" width="48" style="42" bestFit="1" customWidth="1"/>
    <col min="6" max="6" width="36.7109375" bestFit="1" customWidth="1"/>
    <col min="7" max="7" width="33" bestFit="1" customWidth="1"/>
    <col min="8" max="8" width="40.140625" bestFit="1" customWidth="1"/>
    <col min="9" max="9" width="32.85546875" bestFit="1" customWidth="1"/>
    <col min="10" max="10" width="35.7109375" bestFit="1" customWidth="1"/>
    <col min="11" max="11" width="23.42578125" bestFit="1" customWidth="1"/>
    <col min="12" max="12" width="31.7109375" bestFit="1" customWidth="1"/>
    <col min="13" max="13" width="23.42578125" bestFit="1" customWidth="1"/>
    <col min="14" max="14" width="35.7109375" bestFit="1" customWidth="1"/>
    <col min="15" max="15" width="32.85546875" bestFit="1" customWidth="1"/>
    <col min="16" max="16" width="40.140625" bestFit="1" customWidth="1"/>
    <col min="17" max="17" width="35.7109375" bestFit="1" customWidth="1"/>
    <col min="18" max="18" width="36.7109375" bestFit="1" customWidth="1"/>
  </cols>
  <sheetData>
    <row r="1" spans="1:22" x14ac:dyDescent="0.25">
      <c r="A1" s="14">
        <v>2045</v>
      </c>
      <c r="B1" s="53"/>
      <c r="C1" s="53"/>
      <c r="D1" s="53"/>
      <c r="E1" s="5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2" x14ac:dyDescent="0.25">
      <c r="A2" t="s">
        <v>39</v>
      </c>
      <c r="B2" s="16"/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</row>
    <row r="3" spans="1:22" x14ac:dyDescent="0.25">
      <c r="B3" s="16" t="s">
        <v>203</v>
      </c>
      <c r="C3" s="16" t="s">
        <v>252</v>
      </c>
      <c r="D3" s="16" t="s">
        <v>251</v>
      </c>
      <c r="E3" s="16" t="s">
        <v>250</v>
      </c>
      <c r="F3" s="17" t="s">
        <v>189</v>
      </c>
      <c r="G3" s="17" t="s">
        <v>190</v>
      </c>
      <c r="H3" s="17" t="s">
        <v>191</v>
      </c>
      <c r="I3" s="17" t="s">
        <v>192</v>
      </c>
      <c r="J3" s="17" t="s">
        <v>193</v>
      </c>
      <c r="K3" s="17" t="s">
        <v>194</v>
      </c>
      <c r="L3" s="17" t="s">
        <v>195</v>
      </c>
      <c r="M3" s="17" t="s">
        <v>196</v>
      </c>
      <c r="N3" s="17" t="s">
        <v>197</v>
      </c>
      <c r="O3" s="17" t="s">
        <v>198</v>
      </c>
      <c r="P3" s="17" t="s">
        <v>199</v>
      </c>
      <c r="Q3" s="17" t="s">
        <v>200</v>
      </c>
      <c r="R3" s="17" t="s">
        <v>201</v>
      </c>
    </row>
    <row r="4" spans="1:22" x14ac:dyDescent="0.25">
      <c r="A4" s="49"/>
      <c r="B4" s="16" t="s">
        <v>6</v>
      </c>
      <c r="C4" s="16"/>
      <c r="D4" s="16"/>
      <c r="E4" s="16"/>
      <c r="F4" s="17"/>
      <c r="G4" s="17" t="s">
        <v>9</v>
      </c>
      <c r="H4" s="17"/>
      <c r="I4" s="17" t="s">
        <v>13</v>
      </c>
      <c r="J4" s="17"/>
      <c r="K4" s="42" t="s">
        <v>17</v>
      </c>
      <c r="M4" s="17" t="s">
        <v>21</v>
      </c>
      <c r="N4" s="17" t="s">
        <v>24</v>
      </c>
      <c r="O4" s="17" t="s">
        <v>27</v>
      </c>
      <c r="P4" s="17"/>
      <c r="Q4" s="17" t="s">
        <v>31</v>
      </c>
    </row>
    <row r="5" spans="1:22" x14ac:dyDescent="0.25">
      <c r="A5" s="17"/>
      <c r="B5" s="16" t="s">
        <v>202</v>
      </c>
      <c r="C5" s="17" t="s">
        <v>40</v>
      </c>
      <c r="D5" s="17" t="s">
        <v>42</v>
      </c>
      <c r="E5" s="17" t="s">
        <v>40</v>
      </c>
      <c r="F5" s="17" t="s">
        <v>40</v>
      </c>
      <c r="G5" s="17" t="s">
        <v>41</v>
      </c>
      <c r="H5" s="17" t="s">
        <v>40</v>
      </c>
      <c r="I5" s="17" t="s">
        <v>42</v>
      </c>
      <c r="J5" s="17" t="s">
        <v>40</v>
      </c>
      <c r="K5" s="17" t="s">
        <v>41</v>
      </c>
      <c r="L5" s="17" t="s">
        <v>40</v>
      </c>
      <c r="M5" s="17" t="s">
        <v>42</v>
      </c>
      <c r="N5" s="17" t="s">
        <v>40</v>
      </c>
      <c r="O5" s="17" t="s">
        <v>41</v>
      </c>
      <c r="P5" s="17" t="s">
        <v>40</v>
      </c>
      <c r="Q5" s="17" t="s">
        <v>42</v>
      </c>
      <c r="R5" s="17" t="s">
        <v>40</v>
      </c>
    </row>
    <row r="6" spans="1:22" x14ac:dyDescent="0.25">
      <c r="A6" s="17"/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22" x14ac:dyDescent="0.25">
      <c r="A7" s="38"/>
      <c r="B7" s="20">
        <v>0.25</v>
      </c>
      <c r="C7" s="89">
        <f>'FREEVAL INPUT 2045 Hourly'!D$13*'Rate Calculations &amp; PHF'!$BB6</f>
        <v>1723.9122975705122</v>
      </c>
      <c r="D7" s="21">
        <f>'FREEVAL INPUT 2045 Hourly'!E$13*'Rate Calculations &amp; PHF'!$BB6</f>
        <v>40.883295594557602</v>
      </c>
      <c r="E7" s="89">
        <f>'FREEVAL INPUT 2045 Hourly'!F$13*'Rate Calculations &amp; PHF'!$BB6</f>
        <v>1764.7955931650697</v>
      </c>
      <c r="F7" s="21">
        <f>'FREEVAL INPUT 2045 Hourly'!G$13*'Rate Calculations &amp; PHF'!$BB6</f>
        <v>1764.7955931650697</v>
      </c>
      <c r="G7" s="21">
        <f>'FREEVAL INPUT 2045 Hourly'!H$13*'Rate Calculations &amp; PHF'!$BB6</f>
        <v>502.86453581305847</v>
      </c>
      <c r="H7" s="21">
        <f>'FREEVAL INPUT 2045 Hourly'!I$13*'Rate Calculations &amp; PHF'!$BB6</f>
        <v>1261.9310573520111</v>
      </c>
      <c r="I7" s="21">
        <f>'FREEVAL INPUT 2045 Hourly'!J$13*'Rate Calculations &amp; PHF'!$BB6</f>
        <v>104.93379202603117</v>
      </c>
      <c r="J7" s="21">
        <f>'FREEVAL INPUT 2045 Hourly'!K$13*'Rate Calculations &amp; PHF'!$BB6</f>
        <v>1366.8648493780422</v>
      </c>
      <c r="K7" s="21">
        <f>'FREEVAL INPUT 2045 Hourly'!L$13*'Rate Calculations &amp; PHF'!$BB6</f>
        <v>397.93074378702732</v>
      </c>
      <c r="L7" s="21">
        <f>'FREEVAL INPUT 2045 Hourly'!M$13*'Rate Calculations &amp; PHF'!$BB6</f>
        <v>968.93410559101505</v>
      </c>
      <c r="M7" s="21">
        <f>'FREEVAL INPUT 2045 Hourly'!N$13*'Rate Calculations &amp; PHF'!$BB6</f>
        <v>153.9937467395003</v>
      </c>
      <c r="N7" s="21">
        <f>'FREEVAL INPUT 2045 Hourly'!O$13*'Rate Calculations &amp; PHF'!$BB6</f>
        <v>1122.9278523305154</v>
      </c>
      <c r="O7" s="21">
        <f>'FREEVAL INPUT 2045 Hourly'!P$13*'Rate Calculations &amp; PHF'!$BB6</f>
        <v>51.785507753106295</v>
      </c>
      <c r="P7" s="21">
        <f>'FREEVAL INPUT 2045 Hourly'!Q$13*'Rate Calculations &amp; PHF'!$BB6</f>
        <v>1071.1423445774092</v>
      </c>
      <c r="Q7" s="21">
        <f>'FREEVAL INPUT 2045 Hourly'!R$13*'Rate Calculations &amp; PHF'!$BB6</f>
        <v>103.57101550621259</v>
      </c>
      <c r="R7" s="21">
        <f>'FREEVAL INPUT 2045 Hourly'!S$13*'Rate Calculations &amp; PHF'!$BB6</f>
        <v>1174.7133600836216</v>
      </c>
      <c r="S7" s="21"/>
      <c r="T7" s="21"/>
      <c r="U7" s="21"/>
      <c r="V7" s="21"/>
    </row>
    <row r="8" spans="1:22" x14ac:dyDescent="0.25">
      <c r="A8" s="38"/>
      <c r="B8" s="20">
        <v>0.26041666666666702</v>
      </c>
      <c r="C8" s="89">
        <f>'FREEVAL INPUT 2045 Hourly'!D$13*'Rate Calculations &amp; PHF'!$BB7</f>
        <v>1723.9122975705122</v>
      </c>
      <c r="D8" s="21">
        <f>'FREEVAL INPUT 2045 Hourly'!E$13*'Rate Calculations &amp; PHF'!$BB7</f>
        <v>40.883295594557602</v>
      </c>
      <c r="E8" s="89">
        <f>'FREEVAL INPUT 2045 Hourly'!F$13*'Rate Calculations &amp; PHF'!$BB7</f>
        <v>1764.7955931650697</v>
      </c>
      <c r="F8" s="21">
        <f>'FREEVAL INPUT 2045 Hourly'!G$13*'Rate Calculations &amp; PHF'!$BB7</f>
        <v>1764.7955931650697</v>
      </c>
      <c r="G8" s="21">
        <f>'FREEVAL INPUT 2045 Hourly'!H$13*'Rate Calculations &amp; PHF'!$BB7</f>
        <v>502.86453581305847</v>
      </c>
      <c r="H8" s="21">
        <f>'FREEVAL INPUT 2045 Hourly'!I$13*'Rate Calculations &amp; PHF'!$BB7</f>
        <v>1261.9310573520111</v>
      </c>
      <c r="I8" s="21">
        <f>'FREEVAL INPUT 2045 Hourly'!J$13*'Rate Calculations &amp; PHF'!$BB7</f>
        <v>104.93379202603117</v>
      </c>
      <c r="J8" s="21">
        <f>'FREEVAL INPUT 2045 Hourly'!K$13*'Rate Calculations &amp; PHF'!$BB7</f>
        <v>1366.8648493780422</v>
      </c>
      <c r="K8" s="21">
        <f>'FREEVAL INPUT 2045 Hourly'!L$13*'Rate Calculations &amp; PHF'!$BB7</f>
        <v>397.93074378702732</v>
      </c>
      <c r="L8" s="21">
        <f>'FREEVAL INPUT 2045 Hourly'!M$13*'Rate Calculations &amp; PHF'!$BB7</f>
        <v>968.93410559101505</v>
      </c>
      <c r="M8" s="21">
        <f>'FREEVAL INPUT 2045 Hourly'!N$13*'Rate Calculations &amp; PHF'!$BB7</f>
        <v>153.9937467395003</v>
      </c>
      <c r="N8" s="21">
        <f>'FREEVAL INPUT 2045 Hourly'!O$13*'Rate Calculations &amp; PHF'!$BB7</f>
        <v>1122.9278523305154</v>
      </c>
      <c r="O8" s="21">
        <f>'FREEVAL INPUT 2045 Hourly'!P$13*'Rate Calculations &amp; PHF'!$BB7</f>
        <v>51.785507753106295</v>
      </c>
      <c r="P8" s="21">
        <f>'FREEVAL INPUT 2045 Hourly'!Q$13*'Rate Calculations &amp; PHF'!$BB7</f>
        <v>1071.1423445774092</v>
      </c>
      <c r="Q8" s="21">
        <f>'FREEVAL INPUT 2045 Hourly'!R$13*'Rate Calculations &amp; PHF'!$BB7</f>
        <v>103.57101550621259</v>
      </c>
      <c r="R8" s="21">
        <f>'FREEVAL INPUT 2045 Hourly'!S$13*'Rate Calculations &amp; PHF'!$BB7</f>
        <v>1174.7133600836216</v>
      </c>
    </row>
    <row r="9" spans="1:22" x14ac:dyDescent="0.25">
      <c r="A9" s="38"/>
      <c r="B9" s="20">
        <v>0.27083333333333398</v>
      </c>
      <c r="C9" s="89">
        <f>'FREEVAL INPUT 2045 Hourly'!D$13*'Rate Calculations &amp; PHF'!$BB8</f>
        <v>1768.1151769953972</v>
      </c>
      <c r="D9" s="21">
        <f>'FREEVAL INPUT 2045 Hourly'!E$13*'Rate Calculations &amp; PHF'!$BB8</f>
        <v>41.931585225187284</v>
      </c>
      <c r="E9" s="89">
        <f>'FREEVAL INPUT 2045 Hourly'!F$13*'Rate Calculations &amp; PHF'!$BB8</f>
        <v>1810.0467622205845</v>
      </c>
      <c r="F9" s="21">
        <f>'FREEVAL INPUT 2045 Hourly'!G$13*'Rate Calculations &amp; PHF'!$BB8</f>
        <v>1810.0467622205845</v>
      </c>
      <c r="G9" s="21">
        <f>'FREEVAL INPUT 2045 Hourly'!H$13*'Rate Calculations &amp; PHF'!$BB8</f>
        <v>515.75849826980357</v>
      </c>
      <c r="H9" s="21">
        <f>'FREEVAL INPUT 2045 Hourly'!I$13*'Rate Calculations &amp; PHF'!$BB8</f>
        <v>1294.2882639507807</v>
      </c>
      <c r="I9" s="21">
        <f>'FREEVAL INPUT 2045 Hourly'!J$13*'Rate Calculations &amp; PHF'!$BB8</f>
        <v>107.62440207798069</v>
      </c>
      <c r="J9" s="21">
        <f>'FREEVAL INPUT 2045 Hourly'!K$13*'Rate Calculations &amp; PHF'!$BB8</f>
        <v>1401.9126660287614</v>
      </c>
      <c r="K9" s="21">
        <f>'FREEVAL INPUT 2045 Hourly'!L$13*'Rate Calculations &amp; PHF'!$BB8</f>
        <v>408.13409619182289</v>
      </c>
      <c r="L9" s="21">
        <f>'FREEVAL INPUT 2045 Hourly'!M$13*'Rate Calculations &amp; PHF'!$BB8</f>
        <v>993.77856983693857</v>
      </c>
      <c r="M9" s="21">
        <f>'FREEVAL INPUT 2045 Hourly'!N$13*'Rate Calculations &amp; PHF'!$BB8</f>
        <v>157.94230434820543</v>
      </c>
      <c r="N9" s="21">
        <f>'FREEVAL INPUT 2045 Hourly'!O$13*'Rate Calculations &amp; PHF'!$BB8</f>
        <v>1151.7208741851441</v>
      </c>
      <c r="O9" s="21">
        <f>'FREEVAL INPUT 2045 Hourly'!P$13*'Rate Calculations &amp; PHF'!$BB8</f>
        <v>53.113341285237226</v>
      </c>
      <c r="P9" s="21">
        <f>'FREEVAL INPUT 2045 Hourly'!Q$13*'Rate Calculations &amp; PHF'!$BB8</f>
        <v>1098.6075328999068</v>
      </c>
      <c r="Q9" s="21">
        <f>'FREEVAL INPUT 2045 Hourly'!R$13*'Rate Calculations &amp; PHF'!$BB8</f>
        <v>106.22668257047445</v>
      </c>
      <c r="R9" s="21">
        <f>'FREEVAL INPUT 2045 Hourly'!S$13*'Rate Calculations &amp; PHF'!$BB8</f>
        <v>1204.8342154703812</v>
      </c>
    </row>
    <row r="10" spans="1:22" x14ac:dyDescent="0.25">
      <c r="A10" s="38"/>
      <c r="B10" s="20">
        <v>0.28125</v>
      </c>
      <c r="C10" s="89">
        <f>'FREEVAL INPUT 2045 Hourly'!D$13*'Rate Calculations &amp; PHF'!$BB9</f>
        <v>1856.5209358451671</v>
      </c>
      <c r="D10" s="21">
        <f>'FREEVAL INPUT 2045 Hourly'!E$13*'Rate Calculations &amp; PHF'!$BB9</f>
        <v>44.028164486446649</v>
      </c>
      <c r="E10" s="89">
        <f>'FREEVAL INPUT 2045 Hourly'!F$13*'Rate Calculations &amp; PHF'!$BB9</f>
        <v>1900.5491003316138</v>
      </c>
      <c r="F10" s="21">
        <f>'FREEVAL INPUT 2045 Hourly'!G$13*'Rate Calculations &amp; PHF'!$BB9</f>
        <v>1900.5491003316138</v>
      </c>
      <c r="G10" s="21">
        <f>'FREEVAL INPUT 2045 Hourly'!H$13*'Rate Calculations &amp; PHF'!$BB9</f>
        <v>541.54642318329377</v>
      </c>
      <c r="H10" s="21">
        <f>'FREEVAL INPUT 2045 Hourly'!I$13*'Rate Calculations &amp; PHF'!$BB9</f>
        <v>1359.0026771483197</v>
      </c>
      <c r="I10" s="21">
        <f>'FREEVAL INPUT 2045 Hourly'!J$13*'Rate Calculations &amp; PHF'!$BB9</f>
        <v>113.00562218187973</v>
      </c>
      <c r="J10" s="21">
        <f>'FREEVAL INPUT 2045 Hourly'!K$13*'Rate Calculations &amp; PHF'!$BB9</f>
        <v>1472.0082993301994</v>
      </c>
      <c r="K10" s="21">
        <f>'FREEVAL INPUT 2045 Hourly'!L$13*'Rate Calculations &amp; PHF'!$BB9</f>
        <v>428.54080100141408</v>
      </c>
      <c r="L10" s="21">
        <f>'FREEVAL INPUT 2045 Hourly'!M$13*'Rate Calculations &amp; PHF'!$BB9</f>
        <v>1043.4674983287855</v>
      </c>
      <c r="M10" s="21">
        <f>'FREEVAL INPUT 2045 Hourly'!N$13*'Rate Calculations &amp; PHF'!$BB9</f>
        <v>165.83941956561571</v>
      </c>
      <c r="N10" s="21">
        <f>'FREEVAL INPUT 2045 Hourly'!O$13*'Rate Calculations &amp; PHF'!$BB9</f>
        <v>1209.3069178944013</v>
      </c>
      <c r="O10" s="21">
        <f>'FREEVAL INPUT 2045 Hourly'!P$13*'Rate Calculations &amp; PHF'!$BB9</f>
        <v>55.769008349499089</v>
      </c>
      <c r="P10" s="21">
        <f>'FREEVAL INPUT 2045 Hourly'!Q$13*'Rate Calculations &amp; PHF'!$BB9</f>
        <v>1153.5379095449023</v>
      </c>
      <c r="Q10" s="21">
        <f>'FREEVAL INPUT 2045 Hourly'!R$13*'Rate Calculations &amp; PHF'!$BB9</f>
        <v>111.53801669899818</v>
      </c>
      <c r="R10" s="21">
        <f>'FREEVAL INPUT 2045 Hourly'!S$13*'Rate Calculations &amp; PHF'!$BB9</f>
        <v>1265.0759262439003</v>
      </c>
    </row>
    <row r="11" spans="1:22" s="78" customFormat="1" x14ac:dyDescent="0.25">
      <c r="A11" s="85"/>
      <c r="B11" s="86">
        <v>0.29166666666666702</v>
      </c>
      <c r="C11" s="90">
        <f>E11-D11</f>
        <v>2752.8208083717668</v>
      </c>
      <c r="D11" s="87">
        <f>'FREEVAL INPUT 2045 Hourly'!E14*(1-(1/(VLOOKUP('FREEVAL INPUT 2045 Hourly'!E14,'Rate Calculations &amp; PHF'!$AX$6:$AZ$11,3,TRUE))-0.9)/3)</f>
        <v>58.395582329317264</v>
      </c>
      <c r="E11" s="90">
        <f t="shared" ref="E11:F14" si="0">G11+F11</f>
        <v>2811.216390701084</v>
      </c>
      <c r="F11" s="87">
        <f t="shared" si="0"/>
        <v>2182.2429139985752</v>
      </c>
      <c r="G11" s="87">
        <f>'FREEVAL INPUT 2045 Hourly'!H14*(1-(1/(VLOOKUP('FREEVAL INPUT 2045 Hourly'!H14,'Rate Calculations &amp; PHF'!$AX$6:$AZ$11,3,TRUE))-0.9)/3)</f>
        <v>628.97347670250895</v>
      </c>
      <c r="H11" s="87">
        <f>J11-I11</f>
        <v>1553.2694372960661</v>
      </c>
      <c r="I11" s="87">
        <f>'FREEVAL INPUT 2045 Hourly'!J14*(1-(1/(VLOOKUP('FREEVAL INPUT 2045 Hourly'!J14,'Rate Calculations &amp; PHF'!$AX$6:$AZ$11,3,TRUE))-0.9)/3)</f>
        <v>119.19157088122606</v>
      </c>
      <c r="J11" s="87">
        <f>L11+K11</f>
        <v>1672.4610081772921</v>
      </c>
      <c r="K11" s="87">
        <f>'FREEVAL INPUT 2045 Hourly'!L14*(1-(1/(VLOOKUP('FREEVAL INPUT 2045 Hourly'!L14,'Rate Calculations &amp; PHF'!$AX$6:$AZ$11,3,TRUE))-0.9)/3)</f>
        <v>673.22759856630819</v>
      </c>
      <c r="L11" s="87">
        <f>N11-M11</f>
        <v>999.23340961098404</v>
      </c>
      <c r="M11" s="87">
        <f>'FREEVAL INPUT 2045 Hourly'!N14*(1-(1/(VLOOKUP('FREEVAL INPUT 2045 Hourly'!N14,'Rate Calculations &amp; PHF'!$AX$6:$AZ$11,3,TRUE))-0.9)/3)</f>
        <v>217.54202898550724</v>
      </c>
      <c r="N11" s="87">
        <f>'FREEVAL INPUT 2045 Hourly'!O14*(1-(1/(VLOOKUP('FREEVAL INPUT 2045 Hourly'!O14,'Rate Calculations &amp; PHF'!$AX$6:$AZ$11,3,TRUE))-0.9)/3)</f>
        <v>1216.7754385964913</v>
      </c>
      <c r="O11" s="87">
        <f>'FREEVAL INPUT 2045 Hourly'!P14*(1-(1/(VLOOKUP('FREEVAL INPUT 2045 Hourly'!P14,'Rate Calculations &amp; PHF'!$AX$6:$AZ$11,3,TRUE))-0.9)/3)</f>
        <v>98.103831417624519</v>
      </c>
      <c r="P11" s="87">
        <f>N11-O11</f>
        <v>1118.6716071788669</v>
      </c>
      <c r="Q11" s="87">
        <f>'FREEVAL INPUT 2045 Hourly'!R14*(1-(1/(VLOOKUP('FREEVAL INPUT 2045 Hourly'!R14,'Rate Calculations &amp; PHF'!$AX$6:$AZ$11,3,TRUE))-0.9)/3)</f>
        <v>272.86521739130433</v>
      </c>
      <c r="R11" s="87">
        <f>P11+Q11</f>
        <v>1391.5368245701711</v>
      </c>
    </row>
    <row r="12" spans="1:22" s="78" customFormat="1" x14ac:dyDescent="0.25">
      <c r="A12" s="85"/>
      <c r="B12" s="86">
        <v>0.30208333333333398</v>
      </c>
      <c r="C12" s="90">
        <f t="shared" ref="C12:C14" si="1">E12-D12</f>
        <v>2898.120808371767</v>
      </c>
      <c r="D12" s="87">
        <f>'FREEVAL INPUT 2045 Hourly'!E14*(1-(1/(VLOOKUP('FREEVAL INPUT 2045 Hourly'!E14,'Rate Calculations &amp; PHF'!$AX$6:$AZ$11,3,TRUE))-1.05)/3)</f>
        <v>61.645582329317264</v>
      </c>
      <c r="E12" s="90">
        <f t="shared" si="0"/>
        <v>2959.7663907010842</v>
      </c>
      <c r="F12" s="87">
        <f t="shared" si="0"/>
        <v>2297.3929139985753</v>
      </c>
      <c r="G12" s="87">
        <f>'FREEVAL INPUT 2045 Hourly'!H14*(1-(1/(VLOOKUP('FREEVAL INPUT 2045 Hourly'!H14,'Rate Calculations &amp; PHF'!$AX$6:$AZ$11,3,TRUE))-1.05)/3)</f>
        <v>662.37347670250904</v>
      </c>
      <c r="H12" s="87">
        <f>J12-I12</f>
        <v>1635.0194372960661</v>
      </c>
      <c r="I12" s="87">
        <f>'FREEVAL INPUT 2045 Hourly'!J14*(1-(1/(VLOOKUP('FREEVAL INPUT 2045 Hourly'!J14,'Rate Calculations &amp; PHF'!$AX$6:$AZ$11,3,TRUE))-1.05)/3)</f>
        <v>125.69157088122607</v>
      </c>
      <c r="J12" s="87">
        <f>L12+K12</f>
        <v>1760.7110081772921</v>
      </c>
      <c r="K12" s="87">
        <f>'FREEVAL INPUT 2045 Hourly'!L14*(1-(1/(VLOOKUP('FREEVAL INPUT 2045 Hourly'!L14,'Rate Calculations &amp; PHF'!$AX$6:$AZ$11,3,TRUE))-1.05)/3)</f>
        <v>708.9775985663083</v>
      </c>
      <c r="L12" s="87">
        <f>N12-M12</f>
        <v>1051.7334096109839</v>
      </c>
      <c r="M12" s="87">
        <f>'FREEVAL INPUT 2045 Hourly'!N14*(1-(1/(VLOOKUP('FREEVAL INPUT 2045 Hourly'!N14,'Rate Calculations &amp; PHF'!$AX$6:$AZ$11,3,TRUE))-1.05)/3)</f>
        <v>229.14202898550727</v>
      </c>
      <c r="N12" s="87">
        <f>'FREEVAL INPUT 2045 Hourly'!O14*(1-(1/(VLOOKUP('FREEVAL INPUT 2045 Hourly'!O14,'Rate Calculations &amp; PHF'!$AX$6:$AZ$11,3,TRUE))-1.05)/3)</f>
        <v>1280.8754385964912</v>
      </c>
      <c r="O12" s="87">
        <f>'FREEVAL INPUT 2045 Hourly'!P14*(1-(1/(VLOOKUP('FREEVAL INPUT 2045 Hourly'!P14,'Rate Calculations &amp; PHF'!$AX$6:$AZ$11,3,TRUE))-1.05)/3)</f>
        <v>103.45383141762453</v>
      </c>
      <c r="P12" s="87">
        <f>N12-O12</f>
        <v>1177.4216071788667</v>
      </c>
      <c r="Q12" s="87">
        <f>'FREEVAL INPUT 2045 Hourly'!R14*(1-(1/(VLOOKUP('FREEVAL INPUT 2045 Hourly'!R14,'Rate Calculations &amp; PHF'!$AX$6:$AZ$11,3,TRUE))-1.05)/3)</f>
        <v>287.41521739130434</v>
      </c>
      <c r="R12" s="87">
        <f>P12+Q12</f>
        <v>1464.8368245701711</v>
      </c>
    </row>
    <row r="13" spans="1:22" s="78" customFormat="1" x14ac:dyDescent="0.25">
      <c r="A13" s="85"/>
      <c r="B13" s="86">
        <v>0.312500000000001</v>
      </c>
      <c r="C13" s="90">
        <f t="shared" si="1"/>
        <v>3074.9375748846987</v>
      </c>
      <c r="D13" s="87">
        <f>('FREEVAL INPUT 2045 Hourly'!E14*(1/((VLOOKUP('FREEVAL INPUT 2045 Hourly'!E14,'Rate Calculations &amp; PHF'!$AX$6:$AZ$11,3,TRUE)))))</f>
        <v>78.313253012048193</v>
      </c>
      <c r="E13" s="90">
        <f t="shared" si="0"/>
        <v>3153.2508278967471</v>
      </c>
      <c r="F13" s="87">
        <f t="shared" si="0"/>
        <v>2434.9712580042742</v>
      </c>
      <c r="G13" s="87">
        <f>('FREEVAL INPUT 2045 Hourly'!H14*(1/((VLOOKUP('FREEVAL INPUT 2045 Hourly'!H14,'Rate Calculations &amp; PHF'!$AX$6:$AZ$11,3,TRUE)))))</f>
        <v>718.27956989247309</v>
      </c>
      <c r="H13" s="87">
        <f>J13-I13</f>
        <v>1716.6916881118013</v>
      </c>
      <c r="I13" s="87">
        <f>('FREEVAL INPUT 2045 Hourly'!J14*(1/((VLOOKUP('FREEVAL INPUT 2045 Hourly'!J14,'Rate Calculations &amp; PHF'!$AX$6:$AZ$11,3,TRUE)))))</f>
        <v>149.42528735632183</v>
      </c>
      <c r="J13" s="87">
        <f>L13+K13</f>
        <v>1866.1169754681232</v>
      </c>
      <c r="K13" s="87">
        <f>('FREEVAL INPUT 2045 Hourly'!L14*(1/((VLOOKUP('FREEVAL INPUT 2045 Hourly'!L14,'Rate Calculations &amp; PHF'!$AX$6:$AZ$11,3,TRUE)))))</f>
        <v>768.81720430107521</v>
      </c>
      <c r="L13" s="87">
        <f>N13-M13</f>
        <v>1097.299771167048</v>
      </c>
      <c r="M13" s="87">
        <f>('FREEVAL INPUT 2045 Hourly'!N14*(1/((VLOOKUP('FREEVAL INPUT 2045 Hourly'!N14,'Rate Calculations &amp; PHF'!$AX$6:$AZ$11,3,TRUE)))))</f>
        <v>252.17391304347825</v>
      </c>
      <c r="N13" s="87">
        <f>('FREEVAL INPUT 2045 Hourly'!O14*(1/((VLOOKUP('FREEVAL INPUT 2045 Hourly'!O14,'Rate Calculations &amp; PHF'!$AX$6:$AZ$11,3,TRUE)))))</f>
        <v>1349.4736842105262</v>
      </c>
      <c r="O13" s="87">
        <f>('FREEVAL INPUT 2045 Hourly'!P14*(1/((VLOOKUP('FREEVAL INPUT 2045 Hourly'!P14,'Rate Calculations &amp; PHF'!$AX$6:$AZ$11,3,TRUE)))))</f>
        <v>122.98850574712642</v>
      </c>
      <c r="P13" s="87">
        <f>N13-O13</f>
        <v>1226.4851784633997</v>
      </c>
      <c r="Q13" s="87">
        <f>('FREEVAL INPUT 2045 Hourly'!R14*(1/((VLOOKUP('FREEVAL INPUT 2045 Hourly'!R14,'Rate Calculations &amp; PHF'!$AX$6:$AZ$11,3,TRUE)))))</f>
        <v>316.30434782608694</v>
      </c>
      <c r="R13" s="87">
        <f>P13+Q13</f>
        <v>1542.7895262894867</v>
      </c>
    </row>
    <row r="14" spans="1:22" s="78" customFormat="1" x14ac:dyDescent="0.25">
      <c r="A14" s="85"/>
      <c r="B14" s="86">
        <v>0.32291666666666702</v>
      </c>
      <c r="C14" s="90">
        <f t="shared" si="1"/>
        <v>2898.120808371767</v>
      </c>
      <c r="D14" s="87">
        <f>'FREEVAL INPUT 2045 Hourly'!E14*(1-(1/(VLOOKUP('FREEVAL INPUT 2045 Hourly'!E14,'Rate Calculations &amp; PHF'!$AX$6:$AZ$11,3,TRUE))-1.05)/3)</f>
        <v>61.645582329317264</v>
      </c>
      <c r="E14" s="90">
        <f t="shared" si="0"/>
        <v>2959.7663907010842</v>
      </c>
      <c r="F14" s="87">
        <f t="shared" si="0"/>
        <v>2297.3929139985753</v>
      </c>
      <c r="G14" s="87">
        <f>'FREEVAL INPUT 2045 Hourly'!H14*(1-(1/(VLOOKUP('FREEVAL INPUT 2045 Hourly'!H14,'Rate Calculations &amp; PHF'!$AX$6:$AZ$11,3,TRUE))-1.05)/3)</f>
        <v>662.37347670250904</v>
      </c>
      <c r="H14" s="87">
        <f>J14-I14</f>
        <v>1635.0194372960661</v>
      </c>
      <c r="I14" s="87">
        <f>'FREEVAL INPUT 2045 Hourly'!J14*(1-(1/(VLOOKUP('FREEVAL INPUT 2045 Hourly'!J14,'Rate Calculations &amp; PHF'!$AX$6:$AZ$11,3,TRUE))-1.05)/3)</f>
        <v>125.69157088122607</v>
      </c>
      <c r="J14" s="87">
        <f>L14+K14</f>
        <v>1760.7110081772921</v>
      </c>
      <c r="K14" s="87">
        <f>'FREEVAL INPUT 2045 Hourly'!L14*(1-(1/(VLOOKUP('FREEVAL INPUT 2045 Hourly'!L14,'Rate Calculations &amp; PHF'!$AX$6:$AZ$11,3,TRUE))-1.05)/3)</f>
        <v>708.9775985663083</v>
      </c>
      <c r="L14" s="87">
        <f>N14-M14</f>
        <v>1051.7334096109839</v>
      </c>
      <c r="M14" s="87">
        <f>'FREEVAL INPUT 2045 Hourly'!N14*(1-(1/(VLOOKUP('FREEVAL INPUT 2045 Hourly'!N14,'Rate Calculations &amp; PHF'!$AX$6:$AZ$11,3,TRUE))-1.05)/3)</f>
        <v>229.14202898550727</v>
      </c>
      <c r="N14" s="87">
        <f>'FREEVAL INPUT 2045 Hourly'!O14*(1-(1/(VLOOKUP('FREEVAL INPUT 2045 Hourly'!O14,'Rate Calculations &amp; PHF'!$AX$6:$AZ$11,3,TRUE))-1.05)/3)</f>
        <v>1280.8754385964912</v>
      </c>
      <c r="O14" s="87">
        <f>'FREEVAL INPUT 2045 Hourly'!P14*(1-(1/(VLOOKUP('FREEVAL INPUT 2045 Hourly'!P14,'Rate Calculations &amp; PHF'!$AX$6:$AZ$11,3,TRUE))-1.05)/3)</f>
        <v>103.45383141762453</v>
      </c>
      <c r="P14" s="87">
        <f>N14-O14</f>
        <v>1177.4216071788667</v>
      </c>
      <c r="Q14" s="87">
        <f>'FREEVAL INPUT 2045 Hourly'!R14*(1-(1/(VLOOKUP('FREEVAL INPUT 2045 Hourly'!R14,'Rate Calculations &amp; PHF'!$AX$6:$AZ$11,3,TRUE))-1.05)/3)</f>
        <v>287.41521739130434</v>
      </c>
      <c r="R14" s="87">
        <f>P14+Q14</f>
        <v>1464.8368245701711</v>
      </c>
    </row>
    <row r="15" spans="1:22" x14ac:dyDescent="0.25">
      <c r="A15" s="38"/>
      <c r="B15" s="20">
        <v>0.33333333333333398</v>
      </c>
      <c r="C15" s="89">
        <f>'FREEVAL INPUT 2045 Hourly'!D$15*'Rate Calculations &amp; PHF'!$BC6</f>
        <v>2672.5095843273116</v>
      </c>
      <c r="D15" s="21">
        <f>'FREEVAL INPUT 2045 Hourly'!E$15*'Rate Calculations &amp; PHF'!$BC6</f>
        <v>85.121118007130178</v>
      </c>
      <c r="E15" s="89">
        <f>'FREEVAL INPUT 2045 Hourly'!F$15*'Rate Calculations &amp; PHF'!$BC6</f>
        <v>2757.6307023344416</v>
      </c>
      <c r="F15" s="21">
        <f>'FREEVAL INPUT 2045 Hourly'!G$15*'Rate Calculations &amp; PHF'!$BC6</f>
        <v>2757.6307023344416</v>
      </c>
      <c r="G15" s="21">
        <f>'FREEVAL INPUT 2045 Hourly'!H$15*'Rate Calculations &amp; PHF'!$BC6</f>
        <v>890.83652810910382</v>
      </c>
      <c r="H15" s="21">
        <f>'FREEVAL INPUT 2045 Hourly'!I$15*'Rate Calculations &amp; PHF'!$BC6</f>
        <v>1866.7941742253379</v>
      </c>
      <c r="I15" s="21">
        <f>'FREEVAL INPUT 2045 Hourly'!J$15*'Rate Calculations &amp; PHF'!$BC6</f>
        <v>170.24223601426036</v>
      </c>
      <c r="J15" s="21">
        <f>'FREEVAL INPUT 2045 Hourly'!K$15*'Rate Calculations &amp; PHF'!$BC6</f>
        <v>2037.0364102395984</v>
      </c>
      <c r="K15" s="21">
        <f>'FREEVAL INPUT 2045 Hourly'!L$15*'Rate Calculations &amp; PHF'!$BC6</f>
        <v>896.70695004063009</v>
      </c>
      <c r="L15" s="21">
        <f>'FREEVAL INPUT 2045 Hourly'!M$15*'Rate Calculations &amp; PHF'!$BC6</f>
        <v>1140.329460198968</v>
      </c>
      <c r="M15" s="21">
        <f>'FREEVAL INPUT 2045 Hourly'!N$15*'Rate Calculations &amp; PHF'!$BC6</f>
        <v>223.07603339799635</v>
      </c>
      <c r="N15" s="21">
        <f>'FREEVAL INPUT 2045 Hourly'!O$15*'Rate Calculations &amp; PHF'!$BC6</f>
        <v>1363.4054935969646</v>
      </c>
      <c r="O15" s="21">
        <f>'FREEVAL INPUT 2045 Hourly'!P$15*'Rate Calculations &amp; PHF'!$BC6</f>
        <v>80.718301558485521</v>
      </c>
      <c r="P15" s="21">
        <f>'FREEVAL INPUT 2045 Hourly'!Q$15*'Rate Calculations &amp; PHF'!$BC6</f>
        <v>1282.687192038479</v>
      </c>
      <c r="Q15" s="21">
        <f>'FREEVAL INPUT 2045 Hourly'!R$15*'Rate Calculations &amp; PHF'!$BC6</f>
        <v>121.81125507916906</v>
      </c>
      <c r="R15" s="21">
        <f>'FREEVAL INPUT 2045 Hourly'!S$15*'Rate Calculations &amp; PHF'!$BC6</f>
        <v>1404.4984471176481</v>
      </c>
    </row>
    <row r="16" spans="1:22" x14ac:dyDescent="0.25">
      <c r="A16" s="38"/>
      <c r="B16" s="20">
        <v>0.343750000000001</v>
      </c>
      <c r="C16" s="89">
        <f>'FREEVAL INPUT 2045 Hourly'!D$15*'Rate Calculations &amp; PHF'!$BC7</f>
        <v>2545.247223168868</v>
      </c>
      <c r="D16" s="21">
        <f>'FREEVAL INPUT 2045 Hourly'!E$15*'Rate Calculations &amp; PHF'!$BC7</f>
        <v>81.067731435362077</v>
      </c>
      <c r="E16" s="89">
        <f>'FREEVAL INPUT 2045 Hourly'!F$15*'Rate Calculations &amp; PHF'!$BC7</f>
        <v>2626.31495460423</v>
      </c>
      <c r="F16" s="21">
        <f>'FREEVAL INPUT 2045 Hourly'!G$15*'Rate Calculations &amp; PHF'!$BC7</f>
        <v>2626.31495460423</v>
      </c>
      <c r="G16" s="21">
        <f>'FREEVAL INPUT 2045 Hourly'!H$15*'Rate Calculations &amp; PHF'!$BC7</f>
        <v>848.41574105628933</v>
      </c>
      <c r="H16" s="21">
        <f>'FREEVAL INPUT 2045 Hourly'!I$15*'Rate Calculations &amp; PHF'!$BC7</f>
        <v>1777.8992135479407</v>
      </c>
      <c r="I16" s="21">
        <f>'FREEVAL INPUT 2045 Hourly'!J$15*'Rate Calculations &amp; PHF'!$BC7</f>
        <v>162.13546287072415</v>
      </c>
      <c r="J16" s="21">
        <f>'FREEVAL INPUT 2045 Hourly'!K$15*'Rate Calculations &amp; PHF'!$BC7</f>
        <v>1940.034676418665</v>
      </c>
      <c r="K16" s="21">
        <f>'FREEVAL INPUT 2045 Hourly'!L$15*'Rate Calculations &amp; PHF'!$BC7</f>
        <v>854.00661908631434</v>
      </c>
      <c r="L16" s="21">
        <f>'FREEVAL INPUT 2045 Hourly'!M$15*'Rate Calculations &amp; PHF'!$BC7</f>
        <v>1086.0280573323505</v>
      </c>
      <c r="M16" s="21">
        <f>'FREEVAL INPUT 2045 Hourly'!N$15*'Rate Calculations &amp; PHF'!$BC7</f>
        <v>212.4533651409489</v>
      </c>
      <c r="N16" s="21">
        <f>'FREEVAL INPUT 2045 Hourly'!O$15*'Rate Calculations &amp; PHF'!$BC7</f>
        <v>1298.4814224732995</v>
      </c>
      <c r="O16" s="21">
        <f>'FREEVAL INPUT 2045 Hourly'!P$15*'Rate Calculations &amp; PHF'!$BC7</f>
        <v>76.874572912843348</v>
      </c>
      <c r="P16" s="21">
        <f>'FREEVAL INPUT 2045 Hourly'!Q$15*'Rate Calculations &amp; PHF'!$BC7</f>
        <v>1221.6068495604561</v>
      </c>
      <c r="Q16" s="21">
        <f>'FREEVAL INPUT 2045 Hourly'!R$15*'Rate Calculations &amp; PHF'!$BC7</f>
        <v>116.01071912301815</v>
      </c>
      <c r="R16" s="21">
        <f>'FREEVAL INPUT 2045 Hourly'!S$15*'Rate Calculations &amp; PHF'!$BC7</f>
        <v>1337.6175686834742</v>
      </c>
    </row>
    <row r="17" spans="1:18" x14ac:dyDescent="0.25">
      <c r="A17" s="38"/>
      <c r="B17" s="20">
        <v>0.35416666666666702</v>
      </c>
      <c r="C17" s="89">
        <f>'FREEVAL INPUT 2045 Hourly'!D$15*'Rate Calculations &amp; PHF'!$BC8</f>
        <v>2481.6160425896464</v>
      </c>
      <c r="D17" s="21">
        <f>'FREEVAL INPUT 2045 Hourly'!E$15*'Rate Calculations &amp; PHF'!$BC8</f>
        <v>79.041038149478027</v>
      </c>
      <c r="E17" s="89">
        <f>'FREEVAL INPUT 2045 Hourly'!F$15*'Rate Calculations &amp; PHF'!$BC8</f>
        <v>2560.657080739124</v>
      </c>
      <c r="F17" s="21">
        <f>'FREEVAL INPUT 2045 Hourly'!G$15*'Rate Calculations &amp; PHF'!$BC8</f>
        <v>2560.657080739124</v>
      </c>
      <c r="G17" s="21">
        <f>'FREEVAL INPUT 2045 Hourly'!H$15*'Rate Calculations &amp; PHF'!$BC8</f>
        <v>827.20534752988203</v>
      </c>
      <c r="H17" s="21">
        <f>'FREEVAL INPUT 2045 Hourly'!I$15*'Rate Calculations &amp; PHF'!$BC8</f>
        <v>1733.4517332092421</v>
      </c>
      <c r="I17" s="21">
        <f>'FREEVAL INPUT 2045 Hourly'!J$15*'Rate Calculations &amp; PHF'!$BC8</f>
        <v>158.08207629895605</v>
      </c>
      <c r="J17" s="21">
        <f>'FREEVAL INPUT 2045 Hourly'!K$15*'Rate Calculations &amp; PHF'!$BC8</f>
        <v>1891.5338095081984</v>
      </c>
      <c r="K17" s="21">
        <f>'FREEVAL INPUT 2045 Hourly'!L$15*'Rate Calculations &amp; PHF'!$BC8</f>
        <v>832.65645360915642</v>
      </c>
      <c r="L17" s="21">
        <f>'FREEVAL INPUT 2045 Hourly'!M$15*'Rate Calculations &amp; PHF'!$BC8</f>
        <v>1058.8773558990417</v>
      </c>
      <c r="M17" s="21">
        <f>'FREEVAL INPUT 2045 Hourly'!N$15*'Rate Calculations &amp; PHF'!$BC8</f>
        <v>207.14203101242518</v>
      </c>
      <c r="N17" s="21">
        <f>'FREEVAL INPUT 2045 Hourly'!O$15*'Rate Calculations &amp; PHF'!$BC8</f>
        <v>1266.0193869114671</v>
      </c>
      <c r="O17" s="21">
        <f>'FREEVAL INPUT 2045 Hourly'!P$15*'Rate Calculations &amp; PHF'!$BC8</f>
        <v>74.952708590022269</v>
      </c>
      <c r="P17" s="21">
        <f>'FREEVAL INPUT 2045 Hourly'!Q$15*'Rate Calculations &amp; PHF'!$BC8</f>
        <v>1191.0666783214447</v>
      </c>
      <c r="Q17" s="21">
        <f>'FREEVAL INPUT 2045 Hourly'!R$15*'Rate Calculations &amp; PHF'!$BC8</f>
        <v>113.11045114494269</v>
      </c>
      <c r="R17" s="21">
        <f>'FREEVAL INPUT 2045 Hourly'!S$15*'Rate Calculations &amp; PHF'!$BC8</f>
        <v>1304.1771294663874</v>
      </c>
    </row>
    <row r="18" spans="1:18" s="81" customFormat="1" x14ac:dyDescent="0.25">
      <c r="A18" s="107"/>
      <c r="B18" s="108">
        <v>0.36458333333333398</v>
      </c>
      <c r="C18" s="110">
        <f>'FREEVAL INPUT 2045 Hourly'!D$15*'Rate Calculations &amp; PHF'!$BC9</f>
        <v>2481.6160425896464</v>
      </c>
      <c r="D18" s="109">
        <f>'FREEVAL INPUT 2045 Hourly'!E$15*'Rate Calculations &amp; PHF'!$BC9</f>
        <v>79.041038149478027</v>
      </c>
      <c r="E18" s="110">
        <f>'FREEVAL INPUT 2045 Hourly'!F$15*'Rate Calculations &amp; PHF'!$BC9</f>
        <v>2560.657080739124</v>
      </c>
      <c r="F18" s="109">
        <f>'FREEVAL INPUT 2045 Hourly'!G$15*'Rate Calculations &amp; PHF'!$BC9</f>
        <v>2560.657080739124</v>
      </c>
      <c r="G18" s="109">
        <f>'FREEVAL INPUT 2045 Hourly'!H$15*'Rate Calculations &amp; PHF'!$BC9</f>
        <v>827.20534752988203</v>
      </c>
      <c r="H18" s="109">
        <f>'FREEVAL INPUT 2045 Hourly'!I$15*'Rate Calculations &amp; PHF'!$BC9</f>
        <v>1733.4517332092421</v>
      </c>
      <c r="I18" s="109">
        <f>'FREEVAL INPUT 2045 Hourly'!J$15*'Rate Calculations &amp; PHF'!$BC9</f>
        <v>158.08207629895605</v>
      </c>
      <c r="J18" s="109">
        <f>'FREEVAL INPUT 2045 Hourly'!K$15*'Rate Calculations &amp; PHF'!$BC9</f>
        <v>1891.5338095081984</v>
      </c>
      <c r="K18" s="109">
        <f>'FREEVAL INPUT 2045 Hourly'!L$15*'Rate Calculations &amp; PHF'!$BC9</f>
        <v>832.65645360915642</v>
      </c>
      <c r="L18" s="109">
        <f>'FREEVAL INPUT 2045 Hourly'!M$15*'Rate Calculations &amp; PHF'!$BC9</f>
        <v>1058.8773558990417</v>
      </c>
      <c r="M18" s="109">
        <f>'FREEVAL INPUT 2045 Hourly'!N$15*'Rate Calculations &amp; PHF'!$BC9</f>
        <v>207.14203101242518</v>
      </c>
      <c r="N18" s="109">
        <f>'FREEVAL INPUT 2045 Hourly'!O$15*'Rate Calculations &amp; PHF'!$BC9</f>
        <v>1266.0193869114671</v>
      </c>
      <c r="O18" s="109">
        <f>'FREEVAL INPUT 2045 Hourly'!P$15*'Rate Calculations &amp; PHF'!$BC9</f>
        <v>74.952708590022269</v>
      </c>
      <c r="P18" s="109">
        <f>'FREEVAL INPUT 2045 Hourly'!Q$15*'Rate Calculations &amp; PHF'!$BC9</f>
        <v>1191.0666783214447</v>
      </c>
      <c r="Q18" s="109">
        <f>'FREEVAL INPUT 2045 Hourly'!R$15*'Rate Calculations &amp; PHF'!$BC9</f>
        <v>113.11045114494269</v>
      </c>
      <c r="R18" s="109">
        <f>'FREEVAL INPUT 2045 Hourly'!S$15*'Rate Calculations &amp; PHF'!$BC9</f>
        <v>1304.1771294663874</v>
      </c>
    </row>
    <row r="19" spans="1:18" x14ac:dyDescent="0.25">
      <c r="A19" s="38"/>
      <c r="B19" s="20">
        <v>0.625000000000002</v>
      </c>
      <c r="C19" s="89">
        <f>'FREEVAL INPUT 2045 Hourly'!D$22*'Rate Calculations &amp; PHF'!$BB6</f>
        <v>5145.8441388349838</v>
      </c>
      <c r="D19" s="21">
        <f>'FREEVAL INPUT 2045 Hourly'!E$22*'Rate Calculations &amp; PHF'!$BB6</f>
        <v>133.55209894222148</v>
      </c>
      <c r="E19" s="89">
        <f>'FREEVAL INPUT 2045 Hourly'!F$22*'Rate Calculations &amp; PHF'!$BB6</f>
        <v>5279.396237777205</v>
      </c>
      <c r="F19" s="21">
        <f>'FREEVAL INPUT 2045 Hourly'!G$22*'Rate Calculations &amp; PHF'!$BB6</f>
        <v>5279.396237777205</v>
      </c>
      <c r="G19" s="21">
        <f>'FREEVAL INPUT 2045 Hourly'!H$22*'Rate Calculations &amp; PHF'!$BB6</f>
        <v>1464.9847588049809</v>
      </c>
      <c r="H19" s="21">
        <f>'FREEVAL INPUT 2045 Hourly'!I$22*'Rate Calculations &amp; PHF'!$BB6</f>
        <v>3814.4114789722239</v>
      </c>
      <c r="I19" s="21">
        <f>'FREEVAL INPUT 2045 Hourly'!J$22*'Rate Calculations &amp; PHF'!$BB6</f>
        <v>241.21144400788984</v>
      </c>
      <c r="J19" s="21">
        <f>'FREEVAL INPUT 2045 Hourly'!K$22*'Rate Calculations &amp; PHF'!$BB6</f>
        <v>4055.6229229801138</v>
      </c>
      <c r="K19" s="21">
        <f>'FREEVAL INPUT 2045 Hourly'!L$22*'Rate Calculations &amp; PHF'!$BB6</f>
        <v>1655.7734715795827</v>
      </c>
      <c r="L19" s="21">
        <f>'FREEVAL INPUT 2045 Hourly'!M$22*'Rate Calculations &amp; PHF'!$BB6</f>
        <v>2399.8494514005311</v>
      </c>
      <c r="M19" s="21">
        <f>'FREEVAL INPUT 2045 Hourly'!N$22*'Rate Calculations &amp; PHF'!$BB6</f>
        <v>446.99069850049642</v>
      </c>
      <c r="N19" s="21">
        <f>'FREEVAL INPUT 2045 Hourly'!O$22*'Rate Calculations &amp; PHF'!$BB6</f>
        <v>2846.8401499010274</v>
      </c>
      <c r="O19" s="21">
        <f>'FREEVAL INPUT 2045 Hourly'!P$22*'Rate Calculations &amp; PHF'!$BB6</f>
        <v>208.50480753224377</v>
      </c>
      <c r="P19" s="21">
        <f>'FREEVAL INPUT 2045 Hourly'!Q$22*'Rate Calculations &amp; PHF'!$BB6</f>
        <v>2638.3353423687836</v>
      </c>
      <c r="Q19" s="21">
        <f>'FREEVAL INPUT 2045 Hourly'!R$22*'Rate Calculations &amp; PHF'!$BB6</f>
        <v>219.40701969079242</v>
      </c>
      <c r="R19" s="21">
        <f>'FREEVAL INPUT 2045 Hourly'!S$22*'Rate Calculations &amp; PHF'!$BB6</f>
        <v>2857.7423620595764</v>
      </c>
    </row>
    <row r="20" spans="1:18" x14ac:dyDescent="0.25">
      <c r="A20" s="38"/>
      <c r="B20" s="20">
        <v>0.63541666666666796</v>
      </c>
      <c r="C20" s="89">
        <f>'FREEVAL INPUT 2045 Hourly'!D$22*'Rate Calculations &amp; PHF'!$BB7</f>
        <v>5145.8441388349838</v>
      </c>
      <c r="D20" s="21">
        <f>'FREEVAL INPUT 2045 Hourly'!E$22*'Rate Calculations &amp; PHF'!$BB7</f>
        <v>133.55209894222148</v>
      </c>
      <c r="E20" s="89">
        <f>'FREEVAL INPUT 2045 Hourly'!F$22*'Rate Calculations &amp; PHF'!$BB7</f>
        <v>5279.396237777205</v>
      </c>
      <c r="F20" s="21">
        <f>'FREEVAL INPUT 2045 Hourly'!G$22*'Rate Calculations &amp; PHF'!$BB7</f>
        <v>5279.396237777205</v>
      </c>
      <c r="G20" s="21">
        <f>'FREEVAL INPUT 2045 Hourly'!H$22*'Rate Calculations &amp; PHF'!$BB7</f>
        <v>1464.9847588049809</v>
      </c>
      <c r="H20" s="21">
        <f>'FREEVAL INPUT 2045 Hourly'!I$22*'Rate Calculations &amp; PHF'!$BB7</f>
        <v>3814.4114789722239</v>
      </c>
      <c r="I20" s="21">
        <f>'FREEVAL INPUT 2045 Hourly'!J$22*'Rate Calculations &amp; PHF'!$BB7</f>
        <v>241.21144400788984</v>
      </c>
      <c r="J20" s="21">
        <f>'FREEVAL INPUT 2045 Hourly'!K$22*'Rate Calculations &amp; PHF'!$BB7</f>
        <v>4055.6229229801138</v>
      </c>
      <c r="K20" s="21">
        <f>'FREEVAL INPUT 2045 Hourly'!L$22*'Rate Calculations &amp; PHF'!$BB7</f>
        <v>1655.7734715795827</v>
      </c>
      <c r="L20" s="21">
        <f>'FREEVAL INPUT 2045 Hourly'!M$22*'Rate Calculations &amp; PHF'!$BB7</f>
        <v>2399.8494514005311</v>
      </c>
      <c r="M20" s="21">
        <f>'FREEVAL INPUT 2045 Hourly'!N$22*'Rate Calculations &amp; PHF'!$BB7</f>
        <v>446.99069850049642</v>
      </c>
      <c r="N20" s="21">
        <f>'FREEVAL INPUT 2045 Hourly'!O$22*'Rate Calculations &amp; PHF'!$BB7</f>
        <v>2846.8401499010274</v>
      </c>
      <c r="O20" s="21">
        <f>'FREEVAL INPUT 2045 Hourly'!P$22*'Rate Calculations &amp; PHF'!$BB7</f>
        <v>208.50480753224377</v>
      </c>
      <c r="P20" s="21">
        <f>'FREEVAL INPUT 2045 Hourly'!Q$22*'Rate Calculations &amp; PHF'!$BB7</f>
        <v>2638.3353423687836</v>
      </c>
      <c r="Q20" s="21">
        <f>'FREEVAL INPUT 2045 Hourly'!R$22*'Rate Calculations &amp; PHF'!$BB7</f>
        <v>219.40701969079242</v>
      </c>
      <c r="R20" s="21">
        <f>'FREEVAL INPUT 2045 Hourly'!S$22*'Rate Calculations &amp; PHF'!$BB7</f>
        <v>2857.7423620595764</v>
      </c>
    </row>
    <row r="21" spans="1:18" x14ac:dyDescent="0.25">
      <c r="A21" s="38"/>
      <c r="B21" s="20">
        <v>0.64583333333333504</v>
      </c>
      <c r="C21" s="89">
        <f>'FREEVAL INPUT 2045 Hourly'!D$22*'Rate Calculations &amp; PHF'!$BB8</f>
        <v>5277.7888603435731</v>
      </c>
      <c r="D21" s="21">
        <f>'FREEVAL INPUT 2045 Hourly'!E$22*'Rate Calculations &amp; PHF'!$BB8</f>
        <v>136.97651173561178</v>
      </c>
      <c r="E21" s="89">
        <f>'FREEVAL INPUT 2045 Hourly'!F$22*'Rate Calculations &amp; PHF'!$BB8</f>
        <v>5414.765372079185</v>
      </c>
      <c r="F21" s="21">
        <f>'FREEVAL INPUT 2045 Hourly'!G$22*'Rate Calculations &amp; PHF'!$BB8</f>
        <v>5414.765372079185</v>
      </c>
      <c r="G21" s="21">
        <f>'FREEVAL INPUT 2045 Hourly'!H$22*'Rate Calculations &amp; PHF'!$BB8</f>
        <v>1502.5484705692111</v>
      </c>
      <c r="H21" s="21">
        <f>'FREEVAL INPUT 2045 Hourly'!I$22*'Rate Calculations &amp; PHF'!$BB8</f>
        <v>3912.2169015099735</v>
      </c>
      <c r="I21" s="21">
        <f>'FREEVAL INPUT 2045 Hourly'!J$22*'Rate Calculations &amp; PHF'!$BB8</f>
        <v>247.39635282860496</v>
      </c>
      <c r="J21" s="21">
        <f>'FREEVAL INPUT 2045 Hourly'!K$22*'Rate Calculations &amp; PHF'!$BB8</f>
        <v>4159.6132543385784</v>
      </c>
      <c r="K21" s="21">
        <f>'FREEVAL INPUT 2045 Hourly'!L$22*'Rate Calculations &amp; PHF'!$BB8</f>
        <v>1698.229201620085</v>
      </c>
      <c r="L21" s="21">
        <f>'FREEVAL INPUT 2045 Hourly'!M$22*'Rate Calculations &amp; PHF'!$BB8</f>
        <v>2461.3840527184934</v>
      </c>
      <c r="M21" s="21">
        <f>'FREEVAL INPUT 2045 Hourly'!N$22*'Rate Calculations &amp; PHF'!$BB8</f>
        <v>458.45199846204764</v>
      </c>
      <c r="N21" s="21">
        <f>'FREEVAL INPUT 2045 Hourly'!O$22*'Rate Calculations &amp; PHF'!$BB8</f>
        <v>2919.8360511805408</v>
      </c>
      <c r="O21" s="21">
        <f>'FREEVAL INPUT 2045 Hourly'!P$22*'Rate Calculations &amp; PHF'!$BB8</f>
        <v>213.85108464845516</v>
      </c>
      <c r="P21" s="21">
        <f>'FREEVAL INPUT 2045 Hourly'!Q$22*'Rate Calculations &amp; PHF'!$BB8</f>
        <v>2705.9849665320858</v>
      </c>
      <c r="Q21" s="21">
        <f>'FREEVAL INPUT 2045 Hourly'!R$22*'Rate Calculations &amp; PHF'!$BB8</f>
        <v>225.03284070850506</v>
      </c>
      <c r="R21" s="21">
        <f>'FREEVAL INPUT 2045 Hourly'!S$22*'Rate Calculations &amp; PHF'!$BB8</f>
        <v>2931.0178072405911</v>
      </c>
    </row>
    <row r="22" spans="1:18" x14ac:dyDescent="0.25">
      <c r="A22" s="38"/>
      <c r="B22" s="20">
        <v>0.656250000000002</v>
      </c>
      <c r="C22" s="89">
        <f>'FREEVAL INPUT 2045 Hourly'!D$22*'Rate Calculations &amp; PHF'!$BB9</f>
        <v>5541.6783033607517</v>
      </c>
      <c r="D22" s="21">
        <f>'FREEVAL INPUT 2045 Hourly'!E$22*'Rate Calculations &amp; PHF'!$BB9</f>
        <v>143.82533732239239</v>
      </c>
      <c r="E22" s="89">
        <f>'FREEVAL INPUT 2045 Hourly'!F$22*'Rate Calculations &amp; PHF'!$BB9</f>
        <v>5685.5036406831441</v>
      </c>
      <c r="F22" s="21">
        <f>'FREEVAL INPUT 2045 Hourly'!G$22*'Rate Calculations &amp; PHF'!$BB9</f>
        <v>5685.5036406831441</v>
      </c>
      <c r="G22" s="21">
        <f>'FREEVAL INPUT 2045 Hourly'!H$22*'Rate Calculations &amp; PHF'!$BB9</f>
        <v>1577.6758940976717</v>
      </c>
      <c r="H22" s="21">
        <f>'FREEVAL INPUT 2045 Hourly'!I$22*'Rate Calculations &amp; PHF'!$BB9</f>
        <v>4107.8277465854726</v>
      </c>
      <c r="I22" s="21">
        <f>'FREEVAL INPUT 2045 Hourly'!J$22*'Rate Calculations &amp; PHF'!$BB9</f>
        <v>259.76617047003521</v>
      </c>
      <c r="J22" s="21">
        <f>'FREEVAL INPUT 2045 Hourly'!K$22*'Rate Calculations &amp; PHF'!$BB9</f>
        <v>4367.5939170555075</v>
      </c>
      <c r="K22" s="21">
        <f>'FREEVAL INPUT 2045 Hourly'!L$22*'Rate Calculations &amp; PHF'!$BB9</f>
        <v>1783.1406617010894</v>
      </c>
      <c r="L22" s="21">
        <f>'FREEVAL INPUT 2045 Hourly'!M$22*'Rate Calculations &amp; PHF'!$BB9</f>
        <v>2584.4532553544182</v>
      </c>
      <c r="M22" s="21">
        <f>'FREEVAL INPUT 2045 Hourly'!N$22*'Rate Calculations &amp; PHF'!$BB9</f>
        <v>481.37459838515002</v>
      </c>
      <c r="N22" s="21">
        <f>'FREEVAL INPUT 2045 Hourly'!O$22*'Rate Calculations &amp; PHF'!$BB9</f>
        <v>3065.8278537395681</v>
      </c>
      <c r="O22" s="21">
        <f>'FREEVAL INPUT 2045 Hourly'!P$22*'Rate Calculations &amp; PHF'!$BB9</f>
        <v>224.54363888087792</v>
      </c>
      <c r="P22" s="21">
        <f>'FREEVAL INPUT 2045 Hourly'!Q$22*'Rate Calculations &amp; PHF'!$BB9</f>
        <v>2841.2842148586901</v>
      </c>
      <c r="Q22" s="21">
        <f>'FREEVAL INPUT 2045 Hourly'!R$22*'Rate Calculations &amp; PHF'!$BB9</f>
        <v>236.28448274393034</v>
      </c>
      <c r="R22" s="21">
        <f>'FREEVAL INPUT 2045 Hourly'!S$22*'Rate Calculations &amp; PHF'!$BB9</f>
        <v>3077.5686976026209</v>
      </c>
    </row>
    <row r="23" spans="1:18" s="78" customFormat="1" x14ac:dyDescent="0.25">
      <c r="A23" s="85"/>
      <c r="B23" s="86">
        <v>0.66666666666666796</v>
      </c>
      <c r="C23" s="90">
        <f>E23-D23</f>
        <v>5860.5307083300449</v>
      </c>
      <c r="D23" s="87">
        <f>'FREEVAL INPUT 2045 Hourly'!E23*(1-(1/(VLOOKUP('FREEVAL INPUT 2045 Hourly'!E23,'Rate Calculations &amp; PHF'!$AX$6:$AZ$11,3,TRUE))-0.9)/3)</f>
        <v>112.77356321839081</v>
      </c>
      <c r="E23" s="90">
        <f t="shared" ref="E23:F26" si="2">G23+F23</f>
        <v>5973.3042715484362</v>
      </c>
      <c r="F23" s="87">
        <f t="shared" si="2"/>
        <v>4747.0376048817698</v>
      </c>
      <c r="G23" s="87">
        <f>'FREEVAL INPUT 2045 Hourly'!H23*(1-(1/(VLOOKUP('FREEVAL INPUT 2045 Hourly'!H23,'Rate Calculations &amp; PHF'!$AX$6:$AZ$11,3,TRUE))-0.9)/3)</f>
        <v>1226.2666666666667</v>
      </c>
      <c r="H23" s="87">
        <f>J23-I23</f>
        <v>3520.7709382151033</v>
      </c>
      <c r="I23" s="87">
        <f>'FREEVAL INPUT 2045 Hourly'!J23*(1-(1/(VLOOKUP('FREEVAL INPUT 2045 Hourly'!J23,'Rate Calculations &amp; PHF'!$AX$6:$AZ$11,3,TRUE))-0.9)/3)</f>
        <v>363.82028985507247</v>
      </c>
      <c r="J23" s="87">
        <f>L23+K23</f>
        <v>3884.5912280701759</v>
      </c>
      <c r="K23" s="87">
        <f>'FREEVAL INPUT 2045 Hourly'!L23*(1-(1/(VLOOKUP('FREEVAL INPUT 2045 Hourly'!L23,'Rate Calculations &amp; PHF'!$AX$6:$AZ$11,3,TRUE))-0.9)/3)</f>
        <v>1466.3947368421054</v>
      </c>
      <c r="L23" s="87">
        <f>N23-M23</f>
        <v>2418.1964912280705</v>
      </c>
      <c r="M23" s="87">
        <f>'FREEVAL INPUT 2045 Hourly'!N23*(1-(1/(VLOOKUP('FREEVAL INPUT 2045 Hourly'!N23,'Rate Calculations &amp; PHF'!$AX$6:$AZ$11,3,TRUE))-0.9)/3)</f>
        <v>452.9</v>
      </c>
      <c r="N23" s="87">
        <f>'FREEVAL INPUT 2045 Hourly'!O23*(1-(1/(VLOOKUP('FREEVAL INPUT 2045 Hourly'!O23,'Rate Calculations &amp; PHF'!$AX$6:$AZ$11,3,TRUE))-0.9)/3)</f>
        <v>2871.0964912280706</v>
      </c>
      <c r="O23" s="87">
        <f>'FREEVAL INPUT 2045 Hourly'!P23*(1-(1/(VLOOKUP('FREEVAL INPUT 2045 Hourly'!P23,'Rate Calculations &amp; PHF'!$AX$6:$AZ$11,3,TRUE))-0.9)/3)</f>
        <v>427.5826086956522</v>
      </c>
      <c r="P23" s="87">
        <f>N23-O23</f>
        <v>2443.5138825324184</v>
      </c>
      <c r="Q23" s="87">
        <f>'FREEVAL INPUT 2045 Hourly'!R23*(1-(1/(VLOOKUP('FREEVAL INPUT 2045 Hourly'!R23,'Rate Calculations &amp; PHF'!$AX$6:$AZ$11,3,TRUE))-0.9)/3)</f>
        <v>415.39275362318841</v>
      </c>
      <c r="R23" s="87">
        <f>P23+Q23</f>
        <v>2858.906636155607</v>
      </c>
    </row>
    <row r="24" spans="1:18" s="78" customFormat="1" x14ac:dyDescent="0.25">
      <c r="A24" s="85"/>
      <c r="B24" s="86">
        <v>0.67708333333333504</v>
      </c>
      <c r="C24" s="90">
        <f t="shared" ref="C24:C26" si="3">E24-D24</f>
        <v>6168.5307083300459</v>
      </c>
      <c r="D24" s="87">
        <f>'FREEVAL INPUT 2045 Hourly'!E23*(1-(1/(VLOOKUP('FREEVAL INPUT 2045 Hourly'!E23,'Rate Calculations &amp; PHF'!$AX$6:$AZ$11,3,TRUE))-1.05)/3)</f>
        <v>118.92356321839081</v>
      </c>
      <c r="E24" s="90">
        <f t="shared" si="2"/>
        <v>6287.4542715484367</v>
      </c>
      <c r="F24" s="87">
        <f t="shared" si="2"/>
        <v>4996.5876048817699</v>
      </c>
      <c r="G24" s="87">
        <f>'FREEVAL INPUT 2045 Hourly'!H23*(1-(1/(VLOOKUP('FREEVAL INPUT 2045 Hourly'!H23,'Rate Calculations &amp; PHF'!$AX$6:$AZ$11,3,TRUE))-1.05)/3)</f>
        <v>1290.8666666666666</v>
      </c>
      <c r="H24" s="87">
        <f>J24-I24</f>
        <v>3705.7209382151032</v>
      </c>
      <c r="I24" s="87">
        <f>'FREEVAL INPUT 2045 Hourly'!J23*(1-(1/(VLOOKUP('FREEVAL INPUT 2045 Hourly'!J23,'Rate Calculations &amp; PHF'!$AX$6:$AZ$11,3,TRUE))-1.05)/3)</f>
        <v>383.22028985507245</v>
      </c>
      <c r="J24" s="87">
        <f>L24+K24</f>
        <v>4088.9412280701754</v>
      </c>
      <c r="K24" s="87">
        <f>'FREEVAL INPUT 2045 Hourly'!L23*(1-(1/(VLOOKUP('FREEVAL INPUT 2045 Hourly'!L23,'Rate Calculations &amp; PHF'!$AX$6:$AZ$11,3,TRUE))-1.05)/3)</f>
        <v>1543.6447368421052</v>
      </c>
      <c r="L24" s="87">
        <f>N24-M24</f>
        <v>2545.29649122807</v>
      </c>
      <c r="M24" s="87">
        <f>'FREEVAL INPUT 2045 Hourly'!N23*(1-(1/(VLOOKUP('FREEVAL INPUT 2045 Hourly'!N23,'Rate Calculations &amp; PHF'!$AX$6:$AZ$11,3,TRUE))-1.05)/3)</f>
        <v>477.05</v>
      </c>
      <c r="N24" s="87">
        <f>'FREEVAL INPUT 2045 Hourly'!O23*(1-(1/(VLOOKUP('FREEVAL INPUT 2045 Hourly'!O23,'Rate Calculations &amp; PHF'!$AX$6:$AZ$11,3,TRUE))-1.05)/3)</f>
        <v>3022.3464912280701</v>
      </c>
      <c r="O24" s="87">
        <f>'FREEVAL INPUT 2045 Hourly'!P23*(1-(1/(VLOOKUP('FREEVAL INPUT 2045 Hourly'!P23,'Rate Calculations &amp; PHF'!$AX$6:$AZ$11,3,TRUE))-1.05)/3)</f>
        <v>450.38260869565221</v>
      </c>
      <c r="P24" s="87">
        <f>N24-O24</f>
        <v>2571.9638825324178</v>
      </c>
      <c r="Q24" s="87">
        <f>'FREEVAL INPUT 2045 Hourly'!R23*(1-(1/(VLOOKUP('FREEVAL INPUT 2045 Hourly'!R23,'Rate Calculations &amp; PHF'!$AX$6:$AZ$11,3,TRUE))-1.05)/3)</f>
        <v>437.54275362318845</v>
      </c>
      <c r="R24" s="87">
        <f>P24+Q24</f>
        <v>3009.5066361556064</v>
      </c>
    </row>
    <row r="25" spans="1:18" s="78" customFormat="1" x14ac:dyDescent="0.25">
      <c r="A25" s="85"/>
      <c r="B25" s="86">
        <v>0.687500000000002</v>
      </c>
      <c r="C25" s="90">
        <f t="shared" si="3"/>
        <v>6442.4078750098633</v>
      </c>
      <c r="D25" s="87">
        <f>('FREEVAL INPUT 2045 Hourly'!E23*(1/((VLOOKUP('FREEVAL INPUT 2045 Hourly'!E23,'Rate Calculations &amp; PHF'!$AX$6:$AZ$11,3,TRUE)))))</f>
        <v>141.37931034482759</v>
      </c>
      <c r="E25" s="90">
        <f t="shared" si="2"/>
        <v>6583.7871853546912</v>
      </c>
      <c r="F25" s="87">
        <f t="shared" si="2"/>
        <v>5223.7871853546912</v>
      </c>
      <c r="G25" s="87">
        <f>('FREEVAL INPUT 2045 Hourly'!H23*(1/((VLOOKUP('FREEVAL INPUT 2045 Hourly'!H23,'Rate Calculations &amp; PHF'!$AX$6:$AZ$11,3,TRUE)))))</f>
        <v>1360</v>
      </c>
      <c r="H25" s="87">
        <f>J25-I25</f>
        <v>3863.7871853546908</v>
      </c>
      <c r="I25" s="87">
        <f>('FREEVAL INPUT 2045 Hourly'!J23*(1/((VLOOKUP('FREEVAL INPUT 2045 Hourly'!J23,'Rate Calculations &amp; PHF'!$AX$6:$AZ$11,3,TRUE)))))</f>
        <v>421.73913043478257</v>
      </c>
      <c r="J25" s="87">
        <f>L25+K25</f>
        <v>4285.5263157894733</v>
      </c>
      <c r="K25" s="87">
        <f>('FREEVAL INPUT 2045 Hourly'!L23*(1/((VLOOKUP('FREEVAL INPUT 2045 Hourly'!L23,'Rate Calculations &amp; PHF'!$AX$6:$AZ$11,3,TRUE)))))</f>
        <v>1626.3157894736842</v>
      </c>
      <c r="L25" s="87">
        <f>N25-M25</f>
        <v>2659.2105263157891</v>
      </c>
      <c r="M25" s="87">
        <f>('FREEVAL INPUT 2045 Hourly'!N23*(1/((VLOOKUP('FREEVAL INPUT 2045 Hourly'!N23,'Rate Calculations &amp; PHF'!$AX$6:$AZ$11,3,TRUE)))))</f>
        <v>525</v>
      </c>
      <c r="N25" s="87">
        <f>('FREEVAL INPUT 2045 Hourly'!O23*(1/((VLOOKUP('FREEVAL INPUT 2045 Hourly'!O23,'Rate Calculations &amp; PHF'!$AX$6:$AZ$11,3,TRUE)))))</f>
        <v>3184.2105263157891</v>
      </c>
      <c r="O25" s="87">
        <f>('FREEVAL INPUT 2045 Hourly'!P23*(1/((VLOOKUP('FREEVAL INPUT 2045 Hourly'!P23,'Rate Calculations &amp; PHF'!$AX$6:$AZ$11,3,TRUE)))))</f>
        <v>495.65217391304344</v>
      </c>
      <c r="P25" s="87">
        <f>N25-O25</f>
        <v>2688.5583524027456</v>
      </c>
      <c r="Q25" s="87">
        <f>('FREEVAL INPUT 2045 Hourly'!R23*(1/((VLOOKUP('FREEVAL INPUT 2045 Hourly'!R23,'Rate Calculations &amp; PHF'!$AX$6:$AZ$11,3,TRUE)))))</f>
        <v>481.52173913043475</v>
      </c>
      <c r="R25" s="87">
        <f>P25+Q25</f>
        <v>3170.0800915331802</v>
      </c>
    </row>
    <row r="26" spans="1:18" s="78" customFormat="1" x14ac:dyDescent="0.25">
      <c r="A26" s="85"/>
      <c r="B26" s="86">
        <v>0.69791666666666796</v>
      </c>
      <c r="C26" s="90">
        <f t="shared" si="3"/>
        <v>6168.5307083300459</v>
      </c>
      <c r="D26" s="87">
        <f>'FREEVAL INPUT 2045 Hourly'!E23*(1-(1/(VLOOKUP('FREEVAL INPUT 2045 Hourly'!E23,'Rate Calculations &amp; PHF'!$AX$6:$AZ$11,3,TRUE))-1.05)/3)</f>
        <v>118.92356321839081</v>
      </c>
      <c r="E26" s="90">
        <f t="shared" si="2"/>
        <v>6287.4542715484367</v>
      </c>
      <c r="F26" s="87">
        <f t="shared" si="2"/>
        <v>4996.5876048817699</v>
      </c>
      <c r="G26" s="87">
        <f>'FREEVAL INPUT 2045 Hourly'!H23*(1-(1/(VLOOKUP('FREEVAL INPUT 2045 Hourly'!H23,'Rate Calculations &amp; PHF'!$AX$6:$AZ$11,3,TRUE))-1.05)/3)</f>
        <v>1290.8666666666666</v>
      </c>
      <c r="H26" s="87">
        <f>J26-I26</f>
        <v>3705.7209382151032</v>
      </c>
      <c r="I26" s="87">
        <f>'FREEVAL INPUT 2045 Hourly'!J23*(1-(1/(VLOOKUP('FREEVAL INPUT 2045 Hourly'!J23,'Rate Calculations &amp; PHF'!$AX$6:$AZ$11,3,TRUE))-1.05)/3)</f>
        <v>383.22028985507245</v>
      </c>
      <c r="J26" s="87">
        <f>L26+K26</f>
        <v>4088.9412280701754</v>
      </c>
      <c r="K26" s="87">
        <f>'FREEVAL INPUT 2045 Hourly'!L23*(1-(1/(VLOOKUP('FREEVAL INPUT 2045 Hourly'!L23,'Rate Calculations &amp; PHF'!$AX$6:$AZ$11,3,TRUE))-1.05)/3)</f>
        <v>1543.6447368421052</v>
      </c>
      <c r="L26" s="87">
        <f>N26-M26</f>
        <v>2545.29649122807</v>
      </c>
      <c r="M26" s="87">
        <f>'FREEVAL INPUT 2045 Hourly'!N23*(1-(1/(VLOOKUP('FREEVAL INPUT 2045 Hourly'!N23,'Rate Calculations &amp; PHF'!$AX$6:$AZ$11,3,TRUE))-1.05)/3)</f>
        <v>477.05</v>
      </c>
      <c r="N26" s="87">
        <f>'FREEVAL INPUT 2045 Hourly'!O23*(1-(1/(VLOOKUP('FREEVAL INPUT 2045 Hourly'!O23,'Rate Calculations &amp; PHF'!$AX$6:$AZ$11,3,TRUE))-1.05)/3)</f>
        <v>3022.3464912280701</v>
      </c>
      <c r="O26" s="87">
        <f>'FREEVAL INPUT 2045 Hourly'!P23*(1-(1/(VLOOKUP('FREEVAL INPUT 2045 Hourly'!P23,'Rate Calculations &amp; PHF'!$AX$6:$AZ$11,3,TRUE))-1.05)/3)</f>
        <v>450.38260869565221</v>
      </c>
      <c r="P26" s="87">
        <f>N26-O26</f>
        <v>2571.9638825324178</v>
      </c>
      <c r="Q26" s="87">
        <f>'FREEVAL INPUT 2045 Hourly'!R23*(1-(1/(VLOOKUP('FREEVAL INPUT 2045 Hourly'!R23,'Rate Calculations &amp; PHF'!$AX$6:$AZ$11,3,TRUE))-1.05)/3)</f>
        <v>437.54275362318845</v>
      </c>
      <c r="R26" s="87">
        <f>P26+Q26</f>
        <v>3009.5066361556064</v>
      </c>
    </row>
    <row r="27" spans="1:18" x14ac:dyDescent="0.25">
      <c r="A27" s="38"/>
      <c r="B27" s="20">
        <v>0.70833333333333504</v>
      </c>
      <c r="C27" s="89">
        <f>'FREEVAL INPUT 2045 Hourly'!D$24*'Rate Calculations &amp; PHF'!$BC6</f>
        <v>5544.6135143265155</v>
      </c>
      <c r="D27" s="21">
        <f>'FREEVAL INPUT 2045 Hourly'!E$24*'Rate Calculations &amp; PHF'!$BC6</f>
        <v>154.09857570256327</v>
      </c>
      <c r="E27" s="89">
        <f>'FREEVAL INPUT 2045 Hourly'!F$24*'Rate Calculations &amp; PHF'!$BC6</f>
        <v>5698.7120900290774</v>
      </c>
      <c r="F27" s="21">
        <f>'FREEVAL INPUT 2045 Hourly'!G$24*'Rate Calculations &amp; PHF'!$BC6</f>
        <v>5698.7120900290774</v>
      </c>
      <c r="G27" s="21">
        <f>'FREEVAL INPUT 2045 Hourly'!H$24*'Rate Calculations &amp; PHF'!$BC6</f>
        <v>1623.1716640669997</v>
      </c>
      <c r="H27" s="21">
        <f>'FREEVAL INPUT 2045 Hourly'!I$24*'Rate Calculations &amp; PHF'!$BC6</f>
        <v>4075.5404259620777</v>
      </c>
      <c r="I27" s="21">
        <f>'FREEVAL INPUT 2045 Hourly'!J$24*'Rate Calculations &amp; PHF'!$BC6</f>
        <v>352.22531589157319</v>
      </c>
      <c r="J27" s="21">
        <f>'FREEVAL INPUT 2045 Hourly'!K$24*'Rate Calculations &amp; PHF'!$BC6</f>
        <v>4427.7657418536519</v>
      </c>
      <c r="K27" s="21">
        <f>'FREEVAL INPUT 2045 Hourly'!L$24*'Rate Calculations &amp; PHF'!$BC6</f>
        <v>2017.957538962138</v>
      </c>
      <c r="L27" s="21">
        <f>'FREEVAL INPUT 2045 Hourly'!M$24*'Rate Calculations &amp; PHF'!$BC6</f>
        <v>2409.8082028915132</v>
      </c>
      <c r="M27" s="21">
        <f>'FREEVAL INPUT 2045 Hourly'!N$24*'Rate Calculations &amp; PHF'!$BC6</f>
        <v>553.28726704634619</v>
      </c>
      <c r="N27" s="21">
        <f>'FREEVAL INPUT 2045 Hourly'!O$24*'Rate Calculations &amp; PHF'!$BC6</f>
        <v>2963.0954699378599</v>
      </c>
      <c r="O27" s="21">
        <f>'FREEVAL INPUT 2045 Hourly'!P$24*'Rate Calculations &amp; PHF'!$BC6</f>
        <v>359.56334330598094</v>
      </c>
      <c r="P27" s="21">
        <f>'FREEVAL INPUT 2045 Hourly'!Q$24*'Rate Calculations &amp; PHF'!$BC6</f>
        <v>2603.5321266318783</v>
      </c>
      <c r="Q27" s="21">
        <f>'FREEVAL INPUT 2045 Hourly'!R$24*'Rate Calculations &amp; PHF'!$BC6</f>
        <v>297.92391302495565</v>
      </c>
      <c r="R27" s="21">
        <f>'FREEVAL INPUT 2045 Hourly'!S$24*'Rate Calculations &amp; PHF'!$BC6</f>
        <v>2901.456039656834</v>
      </c>
    </row>
    <row r="28" spans="1:18" x14ac:dyDescent="0.25">
      <c r="A28" s="38"/>
      <c r="B28" s="20">
        <v>0.718750000000002</v>
      </c>
      <c r="C28" s="89">
        <f>'FREEVAL INPUT 2045 Hourly'!D$24*'Rate Calculations &amp; PHF'!$BC7</f>
        <v>5280.5842993585857</v>
      </c>
      <c r="D28" s="21">
        <f>'FREEVAL INPUT 2045 Hourly'!E$24*'Rate Calculations &amp; PHF'!$BC7</f>
        <v>146.76054828815549</v>
      </c>
      <c r="E28" s="89">
        <f>'FREEVAL INPUT 2045 Hourly'!F$24*'Rate Calculations &amp; PHF'!$BC7</f>
        <v>5427.3448476467402</v>
      </c>
      <c r="F28" s="21">
        <f>'FREEVAL INPUT 2045 Hourly'!G$24*'Rate Calculations &amp; PHF'!$BC7</f>
        <v>5427.3448476467402</v>
      </c>
      <c r="G28" s="21">
        <f>'FREEVAL INPUT 2045 Hourly'!H$24*'Rate Calculations &amp; PHF'!$BC7</f>
        <v>1545.8777753019044</v>
      </c>
      <c r="H28" s="21">
        <f>'FREEVAL INPUT 2045 Hourly'!I$24*'Rate Calculations &amp; PHF'!$BC7</f>
        <v>3881.4670723448357</v>
      </c>
      <c r="I28" s="21">
        <f>'FREEVAL INPUT 2045 Hourly'!J$24*'Rate Calculations &amp; PHF'!$BC7</f>
        <v>335.45268180149827</v>
      </c>
      <c r="J28" s="21">
        <f>'FREEVAL INPUT 2045 Hourly'!K$24*'Rate Calculations &amp; PHF'!$BC7</f>
        <v>4216.9197541463345</v>
      </c>
      <c r="K28" s="21">
        <f>'FREEVAL INPUT 2045 Hourly'!L$24*'Rate Calculations &amp; PHF'!$BC7</f>
        <v>1921.8643228210838</v>
      </c>
      <c r="L28" s="21">
        <f>'FREEVAL INPUT 2045 Hourly'!M$24*'Rate Calculations &amp; PHF'!$BC7</f>
        <v>2295.0554313252505</v>
      </c>
      <c r="M28" s="21">
        <f>'FREEVAL INPUT 2045 Hourly'!N$24*'Rate Calculations &amp; PHF'!$BC7</f>
        <v>526.94025432985347</v>
      </c>
      <c r="N28" s="21">
        <f>'FREEVAL INPUT 2045 Hourly'!O$24*'Rate Calculations &amp; PHF'!$BC7</f>
        <v>2821.9956856551044</v>
      </c>
      <c r="O28" s="21">
        <f>'FREEVAL INPUT 2045 Hourly'!P$24*'Rate Calculations &amp; PHF'!$BC7</f>
        <v>342.44127933902945</v>
      </c>
      <c r="P28" s="21">
        <f>'FREEVAL INPUT 2045 Hourly'!Q$24*'Rate Calculations &amp; PHF'!$BC7</f>
        <v>2479.5544063160746</v>
      </c>
      <c r="Q28" s="21">
        <f>'FREEVAL INPUT 2045 Hourly'!R$24*'Rate Calculations &amp; PHF'!$BC7</f>
        <v>283.7370600237673</v>
      </c>
      <c r="R28" s="21">
        <f>'FREEVAL INPUT 2045 Hourly'!S$24*'Rate Calculations &amp; PHF'!$BC7</f>
        <v>2763.2914663398419</v>
      </c>
    </row>
    <row r="29" spans="1:18" x14ac:dyDescent="0.25">
      <c r="A29" s="38"/>
      <c r="B29" s="20">
        <v>0.72916666666666796</v>
      </c>
      <c r="C29" s="89">
        <f>'FREEVAL INPUT 2045 Hourly'!D$24*'Rate Calculations &amp; PHF'!$BC8</f>
        <v>5148.5696918746207</v>
      </c>
      <c r="D29" s="21">
        <f>'FREEVAL INPUT 2045 Hourly'!E$24*'Rate Calculations &amp; PHF'!$BC8</f>
        <v>143.09153458095159</v>
      </c>
      <c r="E29" s="89">
        <f>'FREEVAL INPUT 2045 Hourly'!F$24*'Rate Calculations &amp; PHF'!$BC8</f>
        <v>5291.6612264555715</v>
      </c>
      <c r="F29" s="21">
        <f>'FREEVAL INPUT 2045 Hourly'!G$24*'Rate Calculations &amp; PHF'!$BC8</f>
        <v>5291.6612264555715</v>
      </c>
      <c r="G29" s="21">
        <f>'FREEVAL INPUT 2045 Hourly'!H$24*'Rate Calculations &amp; PHF'!$BC8</f>
        <v>1507.2308309193568</v>
      </c>
      <c r="H29" s="21">
        <f>'FREEVAL INPUT 2045 Hourly'!I$24*'Rate Calculations &amp; PHF'!$BC8</f>
        <v>3784.4303955362147</v>
      </c>
      <c r="I29" s="21">
        <f>'FREEVAL INPUT 2045 Hourly'!J$24*'Rate Calculations &amp; PHF'!$BC8</f>
        <v>327.06636475646081</v>
      </c>
      <c r="J29" s="21">
        <f>'FREEVAL INPUT 2045 Hourly'!K$24*'Rate Calculations &amp; PHF'!$BC8</f>
        <v>4111.4967602926763</v>
      </c>
      <c r="K29" s="21">
        <f>'FREEVAL INPUT 2045 Hourly'!L$24*'Rate Calculations &amp; PHF'!$BC8</f>
        <v>1873.8177147505567</v>
      </c>
      <c r="L29" s="21">
        <f>'FREEVAL INPUT 2045 Hourly'!M$24*'Rate Calculations &amp; PHF'!$BC8</f>
        <v>2237.6790455421192</v>
      </c>
      <c r="M29" s="21">
        <f>'FREEVAL INPUT 2045 Hourly'!N$24*'Rate Calculations &amp; PHF'!$BC8</f>
        <v>513.76674797160717</v>
      </c>
      <c r="N29" s="21">
        <f>'FREEVAL INPUT 2045 Hourly'!O$24*'Rate Calculations &amp; PHF'!$BC8</f>
        <v>2751.4457935137266</v>
      </c>
      <c r="O29" s="21">
        <f>'FREEVAL INPUT 2045 Hourly'!P$24*'Rate Calculations &amp; PHF'!$BC8</f>
        <v>333.88024735555371</v>
      </c>
      <c r="P29" s="21">
        <f>'FREEVAL INPUT 2045 Hourly'!Q$24*'Rate Calculations &amp; PHF'!$BC8</f>
        <v>2417.5655461581728</v>
      </c>
      <c r="Q29" s="21">
        <f>'FREEVAL INPUT 2045 Hourly'!R$24*'Rate Calculations &amp; PHF'!$BC8</f>
        <v>276.64363352317309</v>
      </c>
      <c r="R29" s="21">
        <f>'FREEVAL INPUT 2045 Hourly'!S$24*'Rate Calculations &amp; PHF'!$BC8</f>
        <v>2694.2091796813456</v>
      </c>
    </row>
    <row r="30" spans="1:18" x14ac:dyDescent="0.25">
      <c r="A30" s="38"/>
      <c r="B30" s="20">
        <v>0.73958333333333504</v>
      </c>
      <c r="C30" s="89">
        <f>'FREEVAL INPUT 2045 Hourly'!D$24*'Rate Calculations &amp; PHF'!$BC9</f>
        <v>5148.5696918746207</v>
      </c>
      <c r="D30" s="21">
        <f>'FREEVAL INPUT 2045 Hourly'!E$24*'Rate Calculations &amp; PHF'!$BC9</f>
        <v>143.09153458095159</v>
      </c>
      <c r="E30" s="89">
        <f>'FREEVAL INPUT 2045 Hourly'!F$24*'Rate Calculations &amp; PHF'!$BC9</f>
        <v>5291.6612264555715</v>
      </c>
      <c r="F30" s="21">
        <f>'FREEVAL INPUT 2045 Hourly'!G$24*'Rate Calculations &amp; PHF'!$BC9</f>
        <v>5291.6612264555715</v>
      </c>
      <c r="G30" s="21">
        <f>'FREEVAL INPUT 2045 Hourly'!H$24*'Rate Calculations &amp; PHF'!$BC9</f>
        <v>1507.2308309193568</v>
      </c>
      <c r="H30" s="21">
        <f>'FREEVAL INPUT 2045 Hourly'!I$24*'Rate Calculations &amp; PHF'!$BC9</f>
        <v>3784.4303955362147</v>
      </c>
      <c r="I30" s="21">
        <f>'FREEVAL INPUT 2045 Hourly'!J$24*'Rate Calculations &amp; PHF'!$BC9</f>
        <v>327.06636475646081</v>
      </c>
      <c r="J30" s="21">
        <f>'FREEVAL INPUT 2045 Hourly'!K$24*'Rate Calculations &amp; PHF'!$BC9</f>
        <v>4111.4967602926763</v>
      </c>
      <c r="K30" s="21">
        <f>'FREEVAL INPUT 2045 Hourly'!L$24*'Rate Calculations &amp; PHF'!$BC9</f>
        <v>1873.8177147505567</v>
      </c>
      <c r="L30" s="21">
        <f>'FREEVAL INPUT 2045 Hourly'!M$24*'Rate Calculations &amp; PHF'!$BC9</f>
        <v>2237.6790455421192</v>
      </c>
      <c r="M30" s="21">
        <f>'FREEVAL INPUT 2045 Hourly'!N$24*'Rate Calculations &amp; PHF'!$BC9</f>
        <v>513.76674797160717</v>
      </c>
      <c r="N30" s="21">
        <f>'FREEVAL INPUT 2045 Hourly'!O$24*'Rate Calculations &amp; PHF'!$BC9</f>
        <v>2751.4457935137266</v>
      </c>
      <c r="O30" s="21">
        <f>'FREEVAL INPUT 2045 Hourly'!P$24*'Rate Calculations &amp; PHF'!$BC9</f>
        <v>333.88024735555371</v>
      </c>
      <c r="P30" s="21">
        <f>'FREEVAL INPUT 2045 Hourly'!Q$24*'Rate Calculations &amp; PHF'!$BC9</f>
        <v>2417.5655461581728</v>
      </c>
      <c r="Q30" s="21">
        <f>'FREEVAL INPUT 2045 Hourly'!R$24*'Rate Calculations &amp; PHF'!$BC9</f>
        <v>276.64363352317309</v>
      </c>
      <c r="R30" s="21">
        <f>'FREEVAL INPUT 2045 Hourly'!S$24*'Rate Calculations &amp; PHF'!$BC9</f>
        <v>2694.2091796813456</v>
      </c>
    </row>
    <row r="31" spans="1:18" s="81" customFormat="1" x14ac:dyDescent="0.25">
      <c r="B31" s="117"/>
      <c r="C31" s="117"/>
      <c r="D31" s="117"/>
      <c r="E31" s="117"/>
    </row>
    <row r="32" spans="1:18" x14ac:dyDescent="0.25">
      <c r="A32" t="s">
        <v>43</v>
      </c>
      <c r="B32" s="54"/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7">
        <v>9</v>
      </c>
      <c r="L32" s="17">
        <v>10</v>
      </c>
      <c r="M32" s="17">
        <v>11</v>
      </c>
      <c r="N32" s="21">
        <v>12</v>
      </c>
      <c r="O32" s="17">
        <v>13</v>
      </c>
      <c r="P32" s="21">
        <v>14</v>
      </c>
      <c r="Q32" s="17">
        <v>15</v>
      </c>
    </row>
    <row r="33" spans="1:17" x14ac:dyDescent="0.25">
      <c r="B33" s="16" t="s">
        <v>203</v>
      </c>
      <c r="C33" s="17" t="s">
        <v>201</v>
      </c>
      <c r="D33" s="17" t="s">
        <v>198</v>
      </c>
      <c r="E33" s="17" t="s">
        <v>199</v>
      </c>
      <c r="F33" s="17" t="s">
        <v>200</v>
      </c>
      <c r="G33" s="17" t="s">
        <v>197</v>
      </c>
      <c r="H33" s="17" t="s">
        <v>194</v>
      </c>
      <c r="I33" s="17" t="s">
        <v>195</v>
      </c>
      <c r="J33" s="17" t="s">
        <v>196</v>
      </c>
      <c r="K33" s="17" t="s">
        <v>193</v>
      </c>
      <c r="L33" s="17" t="s">
        <v>190</v>
      </c>
      <c r="M33" s="17" t="s">
        <v>191</v>
      </c>
      <c r="N33" s="17" t="s">
        <v>192</v>
      </c>
      <c r="O33" s="17" t="s">
        <v>189</v>
      </c>
      <c r="P33" s="101" t="s">
        <v>251</v>
      </c>
      <c r="Q33" s="99" t="s">
        <v>252</v>
      </c>
    </row>
    <row r="34" spans="1:17" x14ac:dyDescent="0.25">
      <c r="B34" s="16" t="s">
        <v>6</v>
      </c>
      <c r="C34" s="17"/>
      <c r="D34" s="17" t="s">
        <v>32</v>
      </c>
      <c r="E34" s="17"/>
      <c r="F34" s="17" t="s">
        <v>28</v>
      </c>
      <c r="G34" s="17" t="s">
        <v>25</v>
      </c>
      <c r="H34" s="17" t="s">
        <v>22</v>
      </c>
      <c r="I34" s="17"/>
      <c r="J34" s="42" t="s">
        <v>18</v>
      </c>
      <c r="K34" s="17"/>
      <c r="L34" s="17" t="s">
        <v>14</v>
      </c>
      <c r="M34" s="17"/>
      <c r="N34" s="17" t="s">
        <v>10</v>
      </c>
      <c r="O34" s="17"/>
    </row>
    <row r="35" spans="1:17" x14ac:dyDescent="0.25">
      <c r="B35" s="16" t="s">
        <v>202</v>
      </c>
      <c r="C35" s="17" t="s">
        <v>40</v>
      </c>
      <c r="D35" s="17" t="s">
        <v>41</v>
      </c>
      <c r="E35" s="17" t="s">
        <v>40</v>
      </c>
      <c r="F35" s="17" t="s">
        <v>42</v>
      </c>
      <c r="G35" s="17" t="s">
        <v>40</v>
      </c>
      <c r="H35" s="17" t="s">
        <v>41</v>
      </c>
      <c r="I35" s="17" t="s">
        <v>40</v>
      </c>
      <c r="J35" s="17" t="s">
        <v>42</v>
      </c>
      <c r="K35" s="17" t="s">
        <v>40</v>
      </c>
      <c r="L35" s="17" t="s">
        <v>41</v>
      </c>
      <c r="M35" s="17" t="s">
        <v>40</v>
      </c>
      <c r="N35" s="17" t="s">
        <v>42</v>
      </c>
      <c r="O35" s="17" t="s">
        <v>40</v>
      </c>
      <c r="P35" s="17" t="s">
        <v>41</v>
      </c>
      <c r="Q35" s="17" t="s">
        <v>40</v>
      </c>
    </row>
    <row r="36" spans="1:17" x14ac:dyDescent="0.25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5">
      <c r="A37" s="38"/>
      <c r="B37" s="20">
        <v>0.25</v>
      </c>
      <c r="C37" s="21">
        <f>'FREEVAL INPUT 2045 Hourly'!D$45*'Rate Calculations &amp; PHF'!$BB6</f>
        <v>2891.8117750550405</v>
      </c>
      <c r="D37" s="21">
        <f>'FREEVAL INPUT 2045 Hourly'!E$45*'Rate Calculations &amp; PHF'!$BB6</f>
        <v>96.75713290711964</v>
      </c>
      <c r="E37" s="21">
        <f>'FREEVAL INPUT 2045 Hourly'!F$45*'Rate Calculations &amp; PHF'!$BB6</f>
        <v>2795.0546421479207</v>
      </c>
      <c r="F37" s="21">
        <f>'FREEVAL INPUT 2045 Hourly'!G$45*'Rate Calculations &amp; PHF'!$BB6</f>
        <v>359.77300123210682</v>
      </c>
      <c r="G37" s="21">
        <f>'FREEVAL INPUT 2045 Hourly'!H$45*'Rate Calculations &amp; PHF'!$BB6</f>
        <v>3154.8276433800283</v>
      </c>
      <c r="H37" s="21">
        <f>'FREEVAL INPUT 2045 Hourly'!I$45*'Rate Calculations &amp; PHF'!$BB6</f>
        <v>275.28085700335447</v>
      </c>
      <c r="I37" s="21">
        <f>'FREEVAL INPUT 2045 Hourly'!J$45*'Rate Calculations &amp; PHF'!$BB6</f>
        <v>2879.5467863766739</v>
      </c>
      <c r="J37" s="21">
        <f>'FREEVAL INPUT 2045 Hourly'!K$45*'Rate Calculations &amp; PHF'!$BB6</f>
        <v>1639.4201533417597</v>
      </c>
      <c r="K37" s="21">
        <f>'FREEVAL INPUT 2045 Hourly'!L$45*'Rate Calculations &amp; PHF'!$BB6</f>
        <v>4518.9669397184334</v>
      </c>
      <c r="L37" s="21">
        <f>'FREEVAL INPUT 2045 Hourly'!M$45*'Rate Calculations &amp; PHF'!$BB6</f>
        <v>166.25873541786757</v>
      </c>
      <c r="M37" s="21">
        <f>'FREEVAL INPUT 2045 Hourly'!N$45*'Rate Calculations &amp; PHF'!$BB6</f>
        <v>4352.7082043005657</v>
      </c>
      <c r="N37" s="21">
        <f>'FREEVAL INPUT 2045 Hourly'!O$45*'Rate Calculations &amp; PHF'!$BB6</f>
        <v>1343.6976485411265</v>
      </c>
      <c r="O37" s="21">
        <f>'FREEVAL INPUT 2045 Hourly'!P$45*'Rate Calculations &amp; PHF'!$BB6</f>
        <v>5696.4058528416926</v>
      </c>
      <c r="P37" s="21">
        <f>'FREEVAL INPUT 2045 Hourly'!Q$45*'Rate Calculations &amp; PHF'!$BB6</f>
        <v>88.580473788208138</v>
      </c>
      <c r="Q37" s="21">
        <f>'FREEVAL INPUT 2045 Hourly'!R$45*'Rate Calculations &amp; PHF'!$BB6</f>
        <v>5607.8253790534845</v>
      </c>
    </row>
    <row r="38" spans="1:17" x14ac:dyDescent="0.25">
      <c r="A38" s="38"/>
      <c r="B38" s="20">
        <v>0.26041666666666702</v>
      </c>
      <c r="C38" s="21">
        <f>'FREEVAL INPUT 2045 Hourly'!D$45*'Rate Calculations &amp; PHF'!$BB7</f>
        <v>2891.8117750550405</v>
      </c>
      <c r="D38" s="21">
        <f>'FREEVAL INPUT 2045 Hourly'!E$45*'Rate Calculations &amp; PHF'!$BB7</f>
        <v>96.75713290711964</v>
      </c>
      <c r="E38" s="21">
        <f>'FREEVAL INPUT 2045 Hourly'!F$45*'Rate Calculations &amp; PHF'!$BB7</f>
        <v>2795.0546421479207</v>
      </c>
      <c r="F38" s="21">
        <f>'FREEVAL INPUT 2045 Hourly'!G$45*'Rate Calculations &amp; PHF'!$BB7</f>
        <v>359.77300123210682</v>
      </c>
      <c r="G38" s="21">
        <f>'FREEVAL INPUT 2045 Hourly'!H$45*'Rate Calculations &amp; PHF'!$BB7</f>
        <v>3154.8276433800283</v>
      </c>
      <c r="H38" s="21">
        <f>'FREEVAL INPUT 2045 Hourly'!I$45*'Rate Calculations &amp; PHF'!$BB7</f>
        <v>275.28085700335447</v>
      </c>
      <c r="I38" s="21">
        <f>'FREEVAL INPUT 2045 Hourly'!J$45*'Rate Calculations &amp; PHF'!$BB7</f>
        <v>2879.5467863766739</v>
      </c>
      <c r="J38" s="21">
        <f>'FREEVAL INPUT 2045 Hourly'!K$45*'Rate Calculations &amp; PHF'!$BB7</f>
        <v>1639.4201533417597</v>
      </c>
      <c r="K38" s="21">
        <f>'FREEVAL INPUT 2045 Hourly'!L$45*'Rate Calculations &amp; PHF'!$BB7</f>
        <v>4518.9669397184334</v>
      </c>
      <c r="L38" s="21">
        <f>'FREEVAL INPUT 2045 Hourly'!M$45*'Rate Calculations &amp; PHF'!$BB7</f>
        <v>166.25873541786757</v>
      </c>
      <c r="M38" s="21">
        <f>'FREEVAL INPUT 2045 Hourly'!N$45*'Rate Calculations &amp; PHF'!$BB7</f>
        <v>4352.7082043005657</v>
      </c>
      <c r="N38" s="21">
        <f>'FREEVAL INPUT 2045 Hourly'!O$45*'Rate Calculations &amp; PHF'!$BB7</f>
        <v>1343.6976485411265</v>
      </c>
      <c r="O38" s="21">
        <f>'FREEVAL INPUT 2045 Hourly'!P$45*'Rate Calculations &amp; PHF'!$BB7</f>
        <v>5696.4058528416926</v>
      </c>
      <c r="P38" s="21">
        <f>'FREEVAL INPUT 2045 Hourly'!Q$45*'Rate Calculations &amp; PHF'!$BB7</f>
        <v>88.580473788208138</v>
      </c>
      <c r="Q38" s="21">
        <f>'FREEVAL INPUT 2045 Hourly'!R$45*'Rate Calculations &amp; PHF'!$BB7</f>
        <v>5607.8253790534845</v>
      </c>
    </row>
    <row r="39" spans="1:17" x14ac:dyDescent="0.25">
      <c r="A39" s="38"/>
      <c r="B39" s="20">
        <v>0.27083333333333298</v>
      </c>
      <c r="C39" s="21">
        <f>'FREEVAL INPUT 2045 Hourly'!D$45*'Rate Calculations &amp; PHF'!$BB8</f>
        <v>2965.9607949282467</v>
      </c>
      <c r="D39" s="21">
        <f>'FREEVAL INPUT 2045 Hourly'!E$45*'Rate Calculations &amp; PHF'!$BB8</f>
        <v>99.238085032943218</v>
      </c>
      <c r="E39" s="21">
        <f>'FREEVAL INPUT 2045 Hourly'!F$45*'Rate Calculations &amp; PHF'!$BB8</f>
        <v>2866.7227098953035</v>
      </c>
      <c r="F39" s="21">
        <f>'FREEVAL INPUT 2045 Hourly'!G$45*'Rate Calculations &amp; PHF'!$BB8</f>
        <v>368.99794998164805</v>
      </c>
      <c r="G39" s="21">
        <f>'FREEVAL INPUT 2045 Hourly'!H$45*'Rate Calculations &amp; PHF'!$BB8</f>
        <v>3235.7206598769521</v>
      </c>
      <c r="H39" s="21">
        <f>'FREEVAL INPUT 2045 Hourly'!I$45*'Rate Calculations &amp; PHF'!$BB8</f>
        <v>282.33934051626102</v>
      </c>
      <c r="I39" s="21">
        <f>'FREEVAL INPUT 2045 Hourly'!J$45*'Rate Calculations &amp; PHF'!$BB8</f>
        <v>2953.3813193606911</v>
      </c>
      <c r="J39" s="21">
        <f>'FREEVAL INPUT 2045 Hourly'!K$45*'Rate Calculations &amp; PHF'!$BB8</f>
        <v>1681.45656753001</v>
      </c>
      <c r="K39" s="21">
        <f>'FREEVAL INPUT 2045 Hourly'!L$45*'Rate Calculations &amp; PHF'!$BB8</f>
        <v>4634.8378868907012</v>
      </c>
      <c r="L39" s="21">
        <f>'FREEVAL INPUT 2045 Hourly'!M$45*'Rate Calculations &amp; PHF'!$BB8</f>
        <v>170.52177991576161</v>
      </c>
      <c r="M39" s="21">
        <f>'FREEVAL INPUT 2045 Hourly'!N$45*'Rate Calculations &amp; PHF'!$BB8</f>
        <v>4464.3161069749394</v>
      </c>
      <c r="N39" s="21">
        <f>'FREEVAL INPUT 2045 Hourly'!O$45*'Rate Calculations &amp; PHF'!$BB8</f>
        <v>1378.1514344011555</v>
      </c>
      <c r="O39" s="21">
        <f>'FREEVAL INPUT 2045 Hourly'!P$45*'Rate Calculations &amp; PHF'!$BB8</f>
        <v>5842.4675413760951</v>
      </c>
      <c r="P39" s="21">
        <f>'FREEVAL INPUT 2045 Hourly'!Q$45*'Rate Calculations &amp; PHF'!$BB8</f>
        <v>90.851767987905788</v>
      </c>
      <c r="Q39" s="21">
        <f>'FREEVAL INPUT 2045 Hourly'!R$45*'Rate Calculations &amp; PHF'!$BB8</f>
        <v>5751.6157733881892</v>
      </c>
    </row>
    <row r="40" spans="1:17" x14ac:dyDescent="0.25">
      <c r="A40" s="38"/>
      <c r="B40" s="20">
        <v>0.28125</v>
      </c>
      <c r="C40" s="21">
        <f>'FREEVAL INPUT 2045 Hourly'!D$45*'Rate Calculations &amp; PHF'!$BB9</f>
        <v>3114.2588346746593</v>
      </c>
      <c r="D40" s="21">
        <f>'FREEVAL INPUT 2045 Hourly'!E$45*'Rate Calculations &amp; PHF'!$BB9</f>
        <v>104.19998928459039</v>
      </c>
      <c r="E40" s="21">
        <f>'FREEVAL INPUT 2045 Hourly'!F$45*'Rate Calculations &amp; PHF'!$BB9</f>
        <v>3010.0588453900687</v>
      </c>
      <c r="F40" s="21">
        <f>'FREEVAL INPUT 2045 Hourly'!G$45*'Rate Calculations &amp; PHF'!$BB9</f>
        <v>387.44784748073045</v>
      </c>
      <c r="G40" s="21">
        <f>'FREEVAL INPUT 2045 Hourly'!H$45*'Rate Calculations &amp; PHF'!$BB9</f>
        <v>3397.5066928707997</v>
      </c>
      <c r="H40" s="21">
        <f>'FREEVAL INPUT 2045 Hourly'!I$45*'Rate Calculations &amp; PHF'!$BB9</f>
        <v>296.45630754207406</v>
      </c>
      <c r="I40" s="21">
        <f>'FREEVAL INPUT 2045 Hourly'!J$45*'Rate Calculations &amp; PHF'!$BB9</f>
        <v>3101.050385328726</v>
      </c>
      <c r="J40" s="21">
        <f>'FREEVAL INPUT 2045 Hourly'!K$45*'Rate Calculations &amp; PHF'!$BB9</f>
        <v>1765.5293959065107</v>
      </c>
      <c r="K40" s="21">
        <f>'FREEVAL INPUT 2045 Hourly'!L$45*'Rate Calculations &amp; PHF'!$BB9</f>
        <v>4866.5797812352366</v>
      </c>
      <c r="L40" s="21">
        <f>'FREEVAL INPUT 2045 Hourly'!M$45*'Rate Calculations &amp; PHF'!$BB9</f>
        <v>179.0478689115497</v>
      </c>
      <c r="M40" s="21">
        <f>'FREEVAL INPUT 2045 Hourly'!N$45*'Rate Calculations &amp; PHF'!$BB9</f>
        <v>4687.5319123236868</v>
      </c>
      <c r="N40" s="21">
        <f>'FREEVAL INPUT 2045 Hourly'!O$45*'Rate Calculations &amp; PHF'!$BB9</f>
        <v>1447.0590061212133</v>
      </c>
      <c r="O40" s="21">
        <f>'FREEVAL INPUT 2045 Hourly'!P$45*'Rate Calculations &amp; PHF'!$BB9</f>
        <v>6134.5909184449001</v>
      </c>
      <c r="P40" s="21">
        <f>'FREEVAL INPUT 2045 Hourly'!Q$45*'Rate Calculations &amp; PHF'!$BB9</f>
        <v>95.394356387301087</v>
      </c>
      <c r="Q40" s="21">
        <f>'FREEVAL INPUT 2045 Hourly'!R$45*'Rate Calculations &amp; PHF'!$BB9</f>
        <v>6039.1965620575993</v>
      </c>
    </row>
    <row r="41" spans="1:17" s="78" customFormat="1" ht="14.25" customHeight="1" x14ac:dyDescent="0.25">
      <c r="A41" s="85"/>
      <c r="B41" s="86">
        <v>0.29166666666666702</v>
      </c>
      <c r="C41" s="90">
        <f>E41-D41</f>
        <v>1933.7247861355122</v>
      </c>
      <c r="D41" s="87">
        <f>'FREEVAL INPUT 2045 Hourly'!E$46*(1-(1/(VLOOKUP('FREEVAL INPUT 2045 Hourly'!E$46,'Rate Calculations &amp; PHF'!$AX$6:$AZ$11,3,TRUE))-0.9)/3)</f>
        <v>298.18260869565216</v>
      </c>
      <c r="E41" s="87">
        <f>G41-F41</f>
        <v>2231.9073948311643</v>
      </c>
      <c r="F41" s="87">
        <f>'FREEVAL INPUT 2045 Hourly'!G$46*(1-(1/(VLOOKUP('FREEVAL INPUT 2045 Hourly'!G$46,'Rate Calculations &amp; PHF'!$AX$6:$AZ$11,3,TRUE))-0.9)/3)</f>
        <v>538.5820788530466</v>
      </c>
      <c r="G41" s="87">
        <f>'FREEVAL INPUT 2045 Hourly'!H$46*(1-(1/(VLOOKUP('FREEVAL INPUT 2045 Hourly'!H$46,'Rate Calculations &amp; PHF'!$AX$6:$AZ$11,3,TRUE))-0.9)/3)</f>
        <v>2770.4894736842107</v>
      </c>
      <c r="H41" s="87">
        <f>'FREEVAL INPUT 2045 Hourly'!I$46*(1-(1/(VLOOKUP('FREEVAL INPUT 2045 Hourly'!I$46,'Rate Calculations &amp; PHF'!$AX$6:$AZ$11,3,TRUE))-0.9)/3)</f>
        <v>448.21159420289854</v>
      </c>
      <c r="I41" s="87">
        <f>G41-H41</f>
        <v>2322.2778794813121</v>
      </c>
      <c r="J41" s="87">
        <f>'FREEVAL INPUT 2045 Hourly'!K$46*(1-(1/(VLOOKUP('FREEVAL INPUT 2045 Hourly'!K$46,'Rate Calculations &amp; PHF'!$AX$6:$AZ$11,3,TRUE))-0.9)/3)</f>
        <v>1634.3894736842105</v>
      </c>
      <c r="K41" s="87">
        <f>I41+J41</f>
        <v>3956.6673531655224</v>
      </c>
      <c r="L41" s="87">
        <f>'FREEVAL INPUT 2045 Hourly'!M$46*(1-(1/(VLOOKUP('FREEVAL INPUT 2045 Hourly'!M$46,'Rate Calculations &amp; PHF'!$AX$6:$AZ$11,3,TRUE))-0.9)/3)</f>
        <v>378.82318840579711</v>
      </c>
      <c r="M41" s="87">
        <f>K41-L41</f>
        <v>3577.8441647597251</v>
      </c>
      <c r="N41" s="87">
        <f>'FREEVAL INPUT 2045 Hourly'!O$46*(1-(1/(VLOOKUP('FREEVAL INPUT 2045 Hourly'!O$46,'Rate Calculations &amp; PHF'!$AX$6:$AZ$11,3,TRUE))-0.9)/3)</f>
        <v>1311.6877192982456</v>
      </c>
      <c r="O41" s="87">
        <f>M41+N41</f>
        <v>4889.5318840579712</v>
      </c>
      <c r="P41" s="87">
        <f>'FREEVAL INPUT 2045 Hourly'!Q$46*(1-(1/(VLOOKUP('FREEVAL INPUT 2045 Hourly'!Q$46,'Rate Calculations &amp; PHF'!$AX$6:$AZ$11,3,TRUE))-0.9)/3)</f>
        <v>77.261847389558227</v>
      </c>
      <c r="Q41" s="87">
        <f>O41+P41</f>
        <v>4966.7937314475294</v>
      </c>
    </row>
    <row r="42" spans="1:17" s="78" customFormat="1" x14ac:dyDescent="0.25">
      <c r="A42" s="85"/>
      <c r="B42" s="86">
        <v>0.30208333333333298</v>
      </c>
      <c r="C42" s="90">
        <f t="shared" ref="C42:C44" si="4">E42-D42</f>
        <v>2035.1747861355116</v>
      </c>
      <c r="D42" s="87">
        <f>'FREEVAL INPUT 2045 Hourly'!E$46*(1-(1/(VLOOKUP('FREEVAL INPUT 2045 Hourly'!E$46,'Rate Calculations &amp; PHF'!$AX$6:$AZ$11,3,TRUE))-1.05)/3)</f>
        <v>314.0826086956522</v>
      </c>
      <c r="E42" s="87">
        <f>G42-F42</f>
        <v>2349.2573948311638</v>
      </c>
      <c r="F42" s="87">
        <f>'FREEVAL INPUT 2045 Hourly'!G$46*(1-(1/(VLOOKUP('FREEVAL INPUT 2045 Hourly'!G$46,'Rate Calculations &amp; PHF'!$AX$6:$AZ$11,3,TRUE))-1.05)/3)</f>
        <v>567.18207885304662</v>
      </c>
      <c r="G42" s="87">
        <f>'FREEVAL INPUT 2045 Hourly'!H$46*(1-(1/(VLOOKUP('FREEVAL INPUT 2045 Hourly'!H$46,'Rate Calculations &amp; PHF'!$AX$6:$AZ$11,3,TRUE))-1.05)/3)</f>
        <v>2916.4394736842105</v>
      </c>
      <c r="H42" s="87">
        <f>'FREEVAL INPUT 2045 Hourly'!I$46*(1-(1/(VLOOKUP('FREEVAL INPUT 2045 Hourly'!I$46,'Rate Calculations &amp; PHF'!$AX$6:$AZ$11,3,TRUE))-1.05)/3)</f>
        <v>472.11159420289857</v>
      </c>
      <c r="I42" s="87">
        <f>G42-H42</f>
        <v>2444.3278794813118</v>
      </c>
      <c r="J42" s="87">
        <f>'FREEVAL INPUT 2045 Hourly'!K$46*(1-(1/(VLOOKUP('FREEVAL INPUT 2045 Hourly'!K$46,'Rate Calculations &amp; PHF'!$AX$6:$AZ$11,3,TRUE))-1.05)/3)</f>
        <v>1720.4894736842105</v>
      </c>
      <c r="K42" s="87">
        <f>I42+J42</f>
        <v>4164.817353165522</v>
      </c>
      <c r="L42" s="87">
        <f>'FREEVAL INPUT 2045 Hourly'!M$46*(1-(1/(VLOOKUP('FREEVAL INPUT 2045 Hourly'!M$46,'Rate Calculations &amp; PHF'!$AX$6:$AZ$11,3,TRUE))-1.05)/3)</f>
        <v>399.0231884057971</v>
      </c>
      <c r="M42" s="87">
        <f>K42-L42</f>
        <v>3765.7941647597249</v>
      </c>
      <c r="N42" s="87">
        <f>'FREEVAL INPUT 2045 Hourly'!O$46*(1-(1/(VLOOKUP('FREEVAL INPUT 2045 Hourly'!O$46,'Rate Calculations &amp; PHF'!$AX$6:$AZ$11,3,TRUE))-1.05)/3)</f>
        <v>1380.7877192982455</v>
      </c>
      <c r="O42" s="87">
        <f>M42+N42</f>
        <v>5146.5818840579705</v>
      </c>
      <c r="P42" s="87">
        <f>'FREEVAL INPUT 2045 Hourly'!Q$46*(1-(1/(VLOOKUP('FREEVAL INPUT 2045 Hourly'!Q$46,'Rate Calculations &amp; PHF'!$AX$6:$AZ$11,3,TRUE))-1.05)/3)</f>
        <v>81.561847389558238</v>
      </c>
      <c r="Q42" s="87">
        <f>O42+P42</f>
        <v>5228.1437314475288</v>
      </c>
    </row>
    <row r="43" spans="1:17" s="78" customFormat="1" x14ac:dyDescent="0.25">
      <c r="A43" s="85"/>
      <c r="B43" s="86">
        <v>0.3125</v>
      </c>
      <c r="C43" s="90">
        <f t="shared" si="4"/>
        <v>2111.9256415934647</v>
      </c>
      <c r="D43" s="87">
        <f>('FREEVAL INPUT 2045 Hourly'!E46*(1/((VLOOKUP('FREEVAL INPUT 2045 Hourly'!E46,'Rate Calculations &amp; PHF'!$AX$6:$AZ$11,3,TRUE)))))</f>
        <v>345.65217391304344</v>
      </c>
      <c r="E43" s="87">
        <f>G43-F43</f>
        <v>2457.5778155065082</v>
      </c>
      <c r="F43" s="87">
        <f>('FREEVAL INPUT 2045 Hourly'!G46*(1/((VLOOKUP('FREEVAL INPUT 2045 Hourly'!G46,'Rate Calculations &amp; PHF'!$AX$6:$AZ$11,3,TRUE)))))</f>
        <v>615.05376344086017</v>
      </c>
      <c r="G43" s="87">
        <f>('FREEVAL INPUT 2045 Hourly'!H46*(1/((VLOOKUP('FREEVAL INPUT 2045 Hourly'!H46,'Rate Calculations &amp; PHF'!$AX$6:$AZ$11,3,TRUE)))))</f>
        <v>3072.6315789473683</v>
      </c>
      <c r="H43" s="87">
        <f>('FREEVAL INPUT 2045 Hourly'!I46*(1/((VLOOKUP('FREEVAL INPUT 2045 Hourly'!I46,'Rate Calculations &amp; PHF'!$AX$6:$AZ$11,3,TRUE)))))</f>
        <v>519.56521739130437</v>
      </c>
      <c r="I43" s="87">
        <f>G43-H43</f>
        <v>2553.0663615560638</v>
      </c>
      <c r="J43" s="87">
        <f>('FREEVAL INPUT 2045 Hourly'!K46*(1/((VLOOKUP('FREEVAL INPUT 2045 Hourly'!K46,'Rate Calculations &amp; PHF'!$AX$6:$AZ$11,3,TRUE)))))</f>
        <v>1812.6315789473683</v>
      </c>
      <c r="K43" s="87">
        <f>I43+J43</f>
        <v>4365.6979405034326</v>
      </c>
      <c r="L43" s="87">
        <f>('FREEVAL INPUT 2045 Hourly'!M46*(1/((VLOOKUP('FREEVAL INPUT 2045 Hourly'!M46,'Rate Calculations &amp; PHF'!$AX$6:$AZ$11,3,TRUE)))))</f>
        <v>439.13043478260869</v>
      </c>
      <c r="M43" s="87">
        <f>K43-L43</f>
        <v>3926.5675057208241</v>
      </c>
      <c r="N43" s="87">
        <f>('FREEVAL INPUT 2045 Hourly'!O46*(1/((VLOOKUP('FREEVAL INPUT 2045 Hourly'!O46,'Rate Calculations &amp; PHF'!$AX$6:$AZ$11,3,TRUE)))))</f>
        <v>1454.7368421052631</v>
      </c>
      <c r="O43" s="87">
        <f>M43+N43</f>
        <v>5381.304347826087</v>
      </c>
      <c r="P43" s="87">
        <f>('FREEVAL INPUT 2045 Hourly'!Q46*(1/((VLOOKUP('FREEVAL INPUT 2045 Hourly'!Q46,'Rate Calculations &amp; PHF'!$AX$6:$AZ$11,3,TRUE)))))</f>
        <v>103.61445783132531</v>
      </c>
      <c r="Q43" s="87">
        <f>O43+P43</f>
        <v>5484.9188056574121</v>
      </c>
    </row>
    <row r="44" spans="1:17" s="78" customFormat="1" x14ac:dyDescent="0.25">
      <c r="A44" s="85"/>
      <c r="B44" s="86">
        <v>0.32291666666666702</v>
      </c>
      <c r="C44" s="90">
        <f t="shared" si="4"/>
        <v>2035.1747861355116</v>
      </c>
      <c r="D44" s="87">
        <f>'FREEVAL INPUT 2045 Hourly'!E$46*(1-(1/(VLOOKUP('FREEVAL INPUT 2045 Hourly'!E$46,'Rate Calculations &amp; PHF'!$AX$6:$AZ$11,3,TRUE))-1.05)/3)</f>
        <v>314.0826086956522</v>
      </c>
      <c r="E44" s="87">
        <f>G44-F44</f>
        <v>2349.2573948311638</v>
      </c>
      <c r="F44" s="87">
        <f>'FREEVAL INPUT 2045 Hourly'!G$46*(1-(1/(VLOOKUP('FREEVAL INPUT 2045 Hourly'!G$46,'Rate Calculations &amp; PHF'!$AX$6:$AZ$11,3,TRUE))-1.05)/3)</f>
        <v>567.18207885304662</v>
      </c>
      <c r="G44" s="87">
        <f>'FREEVAL INPUT 2045 Hourly'!H$46*(1-(1/(VLOOKUP('FREEVAL INPUT 2045 Hourly'!H$46,'Rate Calculations &amp; PHF'!$AX$6:$AZ$11,3,TRUE))-1.05)/3)</f>
        <v>2916.4394736842105</v>
      </c>
      <c r="H44" s="87">
        <f>'FREEVAL INPUT 2045 Hourly'!I$46*(1-(1/(VLOOKUP('FREEVAL INPUT 2045 Hourly'!I$46,'Rate Calculations &amp; PHF'!$AX$6:$AZ$11,3,TRUE))-1.05)/3)</f>
        <v>472.11159420289857</v>
      </c>
      <c r="I44" s="87">
        <f>G44-H44</f>
        <v>2444.3278794813118</v>
      </c>
      <c r="J44" s="87">
        <f>'FREEVAL INPUT 2045 Hourly'!K$46*(1-(1/(VLOOKUP('FREEVAL INPUT 2045 Hourly'!K$46,'Rate Calculations &amp; PHF'!$AX$6:$AZ$11,3,TRUE))-1.05)/3)</f>
        <v>1720.4894736842105</v>
      </c>
      <c r="K44" s="87">
        <f>I44+J44</f>
        <v>4164.817353165522</v>
      </c>
      <c r="L44" s="87">
        <f>'FREEVAL INPUT 2045 Hourly'!M$46*(1-(1/(VLOOKUP('FREEVAL INPUT 2045 Hourly'!M$46,'Rate Calculations &amp; PHF'!$AX$6:$AZ$11,3,TRUE))-1.05)/3)</f>
        <v>399.0231884057971</v>
      </c>
      <c r="M44" s="87">
        <f>K44-L44</f>
        <v>3765.7941647597249</v>
      </c>
      <c r="N44" s="87">
        <f>'FREEVAL INPUT 2045 Hourly'!O$46*(1-(1/(VLOOKUP('FREEVAL INPUT 2045 Hourly'!O$46,'Rate Calculations &amp; PHF'!$AX$6:$AZ$11,3,TRUE))-1.05)/3)</f>
        <v>1380.7877192982455</v>
      </c>
      <c r="O44" s="87">
        <f>M44+N44</f>
        <v>5146.5818840579705</v>
      </c>
      <c r="P44" s="87">
        <f>'FREEVAL INPUT 2045 Hourly'!Q$46*(1-(1/(VLOOKUP('FREEVAL INPUT 2045 Hourly'!Q$46,'Rate Calculations &amp; PHF'!$AX$6:$AZ$11,3,TRUE))-1.05)/3)</f>
        <v>81.561847389558238</v>
      </c>
      <c r="Q44" s="87">
        <f>O44+P44</f>
        <v>5228.1437314475288</v>
      </c>
    </row>
    <row r="45" spans="1:17" x14ac:dyDescent="0.25">
      <c r="A45" s="38"/>
      <c r="B45" s="20">
        <v>0.33333333333333298</v>
      </c>
      <c r="C45" s="21">
        <f>'FREEVAL INPUT 2045 Hourly'!D$47*'Rate Calculations &amp; PHF'!$BC6</f>
        <v>2305.6082136069226</v>
      </c>
      <c r="D45" s="21">
        <f>'FREEVAL INPUT 2045 Hourly'!E$47*'Rate Calculations &amp; PHF'!$BC6</f>
        <v>173.17744698002349</v>
      </c>
      <c r="E45" s="21">
        <f>'FREEVAL INPUT 2045 Hourly'!F$47*'Rate Calculations &amp; PHF'!$BC6</f>
        <v>2132.4307666268992</v>
      </c>
      <c r="F45" s="21">
        <f>'FREEVAL INPUT 2045 Hourly'!G$47*'Rate Calculations &amp; PHF'!$BC6</f>
        <v>308.19715140512653</v>
      </c>
      <c r="G45" s="21">
        <f>'FREEVAL INPUT 2045 Hourly'!H$47*'Rate Calculations &amp; PHF'!$BC6</f>
        <v>2440.6279180320262</v>
      </c>
      <c r="H45" s="21">
        <f>'FREEVAL INPUT 2045 Hourly'!I$47*'Rate Calculations &amp; PHF'!$BC6</f>
        <v>372.77179265191495</v>
      </c>
      <c r="I45" s="21">
        <f>'FREEVAL INPUT 2045 Hourly'!J$47*'Rate Calculations &amp; PHF'!$BC6</f>
        <v>2067.8561253801108</v>
      </c>
      <c r="J45" s="21">
        <f>'FREEVAL INPUT 2045 Hourly'!K$47*'Rate Calculations &amp; PHF'!$BC6</f>
        <v>1593.8195544093687</v>
      </c>
      <c r="K45" s="21">
        <f>'FREEVAL INPUT 2045 Hourly'!L$47*'Rate Calculations &amp; PHF'!$BC6</f>
        <v>3661.6756797894795</v>
      </c>
      <c r="L45" s="21">
        <f>'FREEVAL INPUT 2045 Hourly'!M$47*'Rate Calculations &amp; PHF'!$BC6</f>
        <v>224.54363888087792</v>
      </c>
      <c r="M45" s="21">
        <f>'FREEVAL INPUT 2045 Hourly'!N$47*'Rate Calculations &amp; PHF'!$BC6</f>
        <v>3437.132040908602</v>
      </c>
      <c r="N45" s="21">
        <f>'FREEVAL INPUT 2045 Hourly'!O$47*'Rate Calculations &amp; PHF'!$BC6</f>
        <v>1275.3491646240711</v>
      </c>
      <c r="O45" s="21">
        <f>'FREEVAL INPUT 2045 Hourly'!P$47*'Rate Calculations &amp; PHF'!$BC6</f>
        <v>4712.481205532672</v>
      </c>
      <c r="P45" s="21">
        <f>'FREEVAL INPUT 2045 Hourly'!Q$47*'Rate Calculations &amp; PHF'!$BC6</f>
        <v>111.53801669899818</v>
      </c>
      <c r="Q45" s="21">
        <f>'FREEVAL INPUT 2045 Hourly'!R$47*'Rate Calculations &amp; PHF'!$BC6</f>
        <v>4600.9431888336749</v>
      </c>
    </row>
    <row r="46" spans="1:17" x14ac:dyDescent="0.25">
      <c r="A46" s="38"/>
      <c r="B46" s="20">
        <v>0.34375</v>
      </c>
      <c r="C46" s="21">
        <f>'FREEVAL INPUT 2045 Hourly'!D$47*'Rate Calculations &amp; PHF'!$BC7</f>
        <v>2195.8173462923073</v>
      </c>
      <c r="D46" s="21">
        <f>'FREEVAL INPUT 2045 Hourly'!E$47*'Rate Calculations &amp; PHF'!$BC7</f>
        <v>164.93090188573666</v>
      </c>
      <c r="E46" s="21">
        <f>'FREEVAL INPUT 2045 Hourly'!F$47*'Rate Calculations &amp; PHF'!$BC7</f>
        <v>2030.8864444065705</v>
      </c>
      <c r="F46" s="21">
        <f>'FREEVAL INPUT 2045 Hourly'!G$47*'Rate Calculations &amp; PHF'!$BC7</f>
        <v>293.52109657631098</v>
      </c>
      <c r="G46" s="21">
        <f>'FREEVAL INPUT 2045 Hourly'!H$47*'Rate Calculations &amp; PHF'!$BC7</f>
        <v>2324.407540982882</v>
      </c>
      <c r="H46" s="21">
        <f>'FREEVAL INPUT 2045 Hourly'!I$47*'Rate Calculations &amp; PHF'!$BC7</f>
        <v>355.02075490658564</v>
      </c>
      <c r="I46" s="21">
        <f>'FREEVAL INPUT 2045 Hourly'!J$47*'Rate Calculations &amp; PHF'!$BC7</f>
        <v>1969.3867860762959</v>
      </c>
      <c r="J46" s="21">
        <f>'FREEVAL INPUT 2045 Hourly'!K$47*'Rate Calculations &amp; PHF'!$BC7</f>
        <v>1517.9233851517797</v>
      </c>
      <c r="K46" s="21">
        <f>'FREEVAL INPUT 2045 Hourly'!L$47*'Rate Calculations &amp; PHF'!$BC7</f>
        <v>3487.3101712280754</v>
      </c>
      <c r="L46" s="21">
        <f>'FREEVAL INPUT 2045 Hourly'!M$47*'Rate Calculations &amp; PHF'!$BC7</f>
        <v>213.85108464845516</v>
      </c>
      <c r="M46" s="21">
        <f>'FREEVAL INPUT 2045 Hourly'!N$47*'Rate Calculations &amp; PHF'!$BC7</f>
        <v>3273.4590865796208</v>
      </c>
      <c r="N46" s="21">
        <f>'FREEVAL INPUT 2045 Hourly'!O$47*'Rate Calculations &amp; PHF'!$BC7</f>
        <v>1214.6182520229249</v>
      </c>
      <c r="O46" s="21">
        <f>'FREEVAL INPUT 2045 Hourly'!P$47*'Rate Calculations &amp; PHF'!$BC7</f>
        <v>4488.0773386025448</v>
      </c>
      <c r="P46" s="21">
        <f>'FREEVAL INPUT 2045 Hourly'!Q$47*'Rate Calculations &amp; PHF'!$BC7</f>
        <v>106.22668257047445</v>
      </c>
      <c r="Q46" s="21">
        <f>'FREEVAL INPUT 2045 Hourly'!R$47*'Rate Calculations &amp; PHF'!$BC7</f>
        <v>4381.8506560320711</v>
      </c>
    </row>
    <row r="47" spans="1:17" x14ac:dyDescent="0.25">
      <c r="A47" s="38"/>
      <c r="B47" s="20">
        <v>0.35416666666666702</v>
      </c>
      <c r="C47" s="21">
        <f>'FREEVAL INPUT 2045 Hourly'!D$47*'Rate Calculations &amp; PHF'!$BC8</f>
        <v>2140.9219126349994</v>
      </c>
      <c r="D47" s="21">
        <f>'FREEVAL INPUT 2045 Hourly'!E$47*'Rate Calculations &amp; PHF'!$BC8</f>
        <v>160.80762933859324</v>
      </c>
      <c r="E47" s="21">
        <f>'FREEVAL INPUT 2045 Hourly'!F$47*'Rate Calculations &amp; PHF'!$BC8</f>
        <v>1980.1142832964063</v>
      </c>
      <c r="F47" s="21">
        <f>'FREEVAL INPUT 2045 Hourly'!G$47*'Rate Calculations &amp; PHF'!$BC8</f>
        <v>286.18306916190318</v>
      </c>
      <c r="G47" s="21">
        <f>'FREEVAL INPUT 2045 Hourly'!H$47*'Rate Calculations &amp; PHF'!$BC8</f>
        <v>2266.2973524583099</v>
      </c>
      <c r="H47" s="21">
        <f>'FREEVAL INPUT 2045 Hourly'!I$47*'Rate Calculations &amp; PHF'!$BC8</f>
        <v>346.14523603392098</v>
      </c>
      <c r="I47" s="21">
        <f>'FREEVAL INPUT 2045 Hourly'!J$47*'Rate Calculations &amp; PHF'!$BC8</f>
        <v>1920.1521164243884</v>
      </c>
      <c r="J47" s="21">
        <f>'FREEVAL INPUT 2045 Hourly'!K$47*'Rate Calculations &amp; PHF'!$BC8</f>
        <v>1479.9753005229852</v>
      </c>
      <c r="K47" s="21">
        <f>'FREEVAL INPUT 2045 Hourly'!L$47*'Rate Calculations &amp; PHF'!$BC8</f>
        <v>3400.1274169473736</v>
      </c>
      <c r="L47" s="21">
        <f>'FREEVAL INPUT 2045 Hourly'!M$47*'Rate Calculations &amp; PHF'!$BC8</f>
        <v>208.50480753224377</v>
      </c>
      <c r="M47" s="21">
        <f>'FREEVAL INPUT 2045 Hourly'!N$47*'Rate Calculations &amp; PHF'!$BC8</f>
        <v>3191.6226094151302</v>
      </c>
      <c r="N47" s="21">
        <f>'FREEVAL INPUT 2045 Hourly'!O$47*'Rate Calculations &amp; PHF'!$BC8</f>
        <v>1184.2527957223517</v>
      </c>
      <c r="O47" s="21">
        <f>'FREEVAL INPUT 2045 Hourly'!P$47*'Rate Calculations &amp; PHF'!$BC8</f>
        <v>4375.8754051374808</v>
      </c>
      <c r="P47" s="21">
        <f>'FREEVAL INPUT 2045 Hourly'!Q$47*'Rate Calculations &amp; PHF'!$BC8</f>
        <v>103.57101550621259</v>
      </c>
      <c r="Q47" s="21">
        <f>'FREEVAL INPUT 2045 Hourly'!R$47*'Rate Calculations &amp; PHF'!$BC8</f>
        <v>4272.3043896312693</v>
      </c>
    </row>
    <row r="48" spans="1:17" s="81" customFormat="1" x14ac:dyDescent="0.25">
      <c r="A48" s="107"/>
      <c r="B48" s="108">
        <v>0.36458333333333298</v>
      </c>
      <c r="C48" s="109">
        <f>'FREEVAL INPUT 2045 Hourly'!D$47*'Rate Calculations &amp; PHF'!$BC9</f>
        <v>2140.9219126349994</v>
      </c>
      <c r="D48" s="109">
        <f>'FREEVAL INPUT 2045 Hourly'!E$47*'Rate Calculations &amp; PHF'!$BC9</f>
        <v>160.80762933859324</v>
      </c>
      <c r="E48" s="109">
        <f>'FREEVAL INPUT 2045 Hourly'!F$47*'Rate Calculations &amp; PHF'!$BC9</f>
        <v>1980.1142832964063</v>
      </c>
      <c r="F48" s="109">
        <f>'FREEVAL INPUT 2045 Hourly'!G$47*'Rate Calculations &amp; PHF'!$BC9</f>
        <v>286.18306916190318</v>
      </c>
      <c r="G48" s="109">
        <f>'FREEVAL INPUT 2045 Hourly'!H$47*'Rate Calculations &amp; PHF'!$BC9</f>
        <v>2266.2973524583099</v>
      </c>
      <c r="H48" s="109">
        <f>'FREEVAL INPUT 2045 Hourly'!I$47*'Rate Calculations &amp; PHF'!$BC9</f>
        <v>346.14523603392098</v>
      </c>
      <c r="I48" s="109">
        <f>'FREEVAL INPUT 2045 Hourly'!J$47*'Rate Calculations &amp; PHF'!$BC9</f>
        <v>1920.1521164243884</v>
      </c>
      <c r="J48" s="109">
        <f>'FREEVAL INPUT 2045 Hourly'!K$47*'Rate Calculations &amp; PHF'!$BC9</f>
        <v>1479.9753005229852</v>
      </c>
      <c r="K48" s="109">
        <f>'FREEVAL INPUT 2045 Hourly'!L$47*'Rate Calculations &amp; PHF'!$BC9</f>
        <v>3400.1274169473736</v>
      </c>
      <c r="L48" s="109">
        <f>'FREEVAL INPUT 2045 Hourly'!M$47*'Rate Calculations &amp; PHF'!$BC9</f>
        <v>208.50480753224377</v>
      </c>
      <c r="M48" s="109">
        <f>'FREEVAL INPUT 2045 Hourly'!N$47*'Rate Calculations &amp; PHF'!$BC9</f>
        <v>3191.6226094151302</v>
      </c>
      <c r="N48" s="109">
        <f>'FREEVAL INPUT 2045 Hourly'!O$47*'Rate Calculations &amp; PHF'!$BC9</f>
        <v>1184.2527957223517</v>
      </c>
      <c r="O48" s="109">
        <f>'FREEVAL INPUT 2045 Hourly'!P$47*'Rate Calculations &amp; PHF'!$BC9</f>
        <v>4375.8754051374808</v>
      </c>
      <c r="P48" s="109">
        <f>'FREEVAL INPUT 2045 Hourly'!Q$47*'Rate Calculations &amp; PHF'!$BC9</f>
        <v>103.57101550621259</v>
      </c>
      <c r="Q48" s="109">
        <f>'FREEVAL INPUT 2045 Hourly'!R$47*'Rate Calculations &amp; PHF'!$BC9</f>
        <v>4272.3043896312693</v>
      </c>
    </row>
    <row r="49" spans="1:17" x14ac:dyDescent="0.25">
      <c r="A49" s="38"/>
      <c r="B49" s="20">
        <v>0.625</v>
      </c>
      <c r="C49" s="21">
        <f>'FREEVAL INPUT 2045 Hourly'!D$54*'Rate Calculations &amp; PHF'!$BB6</f>
        <v>1926.9659990234813</v>
      </c>
      <c r="D49" s="21">
        <f>'FREEVAL INPUT 2045 Hourly'!E$54*'Rate Calculations &amp; PHF'!$BB6</f>
        <v>218.04424317097386</v>
      </c>
      <c r="E49" s="21">
        <f>'FREEVAL INPUT 2045 Hourly'!F$54*'Rate Calculations &amp; PHF'!$BB6</f>
        <v>1708.9217558525077</v>
      </c>
      <c r="F49" s="21">
        <f>'FREEVAL INPUT 2045 Hourly'!G$54*'Rate Calculations &amp; PHF'!$BB6</f>
        <v>107.65934506566835</v>
      </c>
      <c r="G49" s="21">
        <f>'FREEVAL INPUT 2045 Hourly'!H$54*'Rate Calculations &amp; PHF'!$BB6</f>
        <v>1816.5811009181759</v>
      </c>
      <c r="H49" s="21">
        <f>'FREEVAL INPUT 2045 Hourly'!I$54*'Rate Calculations &amp; PHF'!$BB6</f>
        <v>324.34081171682362</v>
      </c>
      <c r="I49" s="21">
        <f>'FREEVAL INPUT 2045 Hourly'!J$54*'Rate Calculations &amp; PHF'!$BB6</f>
        <v>1492.2402892013522</v>
      </c>
      <c r="J49" s="21">
        <f>'FREEVAL INPUT 2045 Hourly'!K$54*'Rate Calculations &amp; PHF'!$BB6</f>
        <v>1060.2401324188604</v>
      </c>
      <c r="K49" s="21">
        <f>'FREEVAL INPUT 2045 Hourly'!L$54*'Rate Calculations &amp; PHF'!$BB6</f>
        <v>2552.4804216202128</v>
      </c>
      <c r="L49" s="21">
        <f>'FREEVAL INPUT 2045 Hourly'!M$54*'Rate Calculations &amp; PHF'!$BB6</f>
        <v>201.69092493315082</v>
      </c>
      <c r="M49" s="21">
        <f>'FREEVAL INPUT 2045 Hourly'!N$54*'Rate Calculations &amp; PHF'!$BB6</f>
        <v>2350.7894966870617</v>
      </c>
      <c r="N49" s="21">
        <f>'FREEVAL INPUT 2045 Hourly'!O$54*'Rate Calculations &amp; PHF'!$BB6</f>
        <v>1083.4073332557762</v>
      </c>
      <c r="O49" s="21">
        <f>'FREEVAL INPUT 2045 Hourly'!P$54*'Rate Calculations &amp; PHF'!$BB6</f>
        <v>3434.1968299428386</v>
      </c>
      <c r="P49" s="21">
        <f>'FREEVAL INPUT 2045 Hourly'!Q$54*'Rate Calculations &amp; PHF'!$BB6</f>
        <v>141.72875806113299</v>
      </c>
      <c r="Q49" s="21">
        <f>'FREEVAL INPUT 2045 Hourly'!R$54*'Rate Calculations &amp; PHF'!$BB6</f>
        <v>3292.4680718817053</v>
      </c>
    </row>
    <row r="50" spans="1:17" x14ac:dyDescent="0.25">
      <c r="A50" s="38"/>
      <c r="B50" s="20">
        <v>0.63541666666666696</v>
      </c>
      <c r="C50" s="21">
        <f>'FREEVAL INPUT 2045 Hourly'!D$54*'Rate Calculations &amp; PHF'!$BB7</f>
        <v>1926.9659990234813</v>
      </c>
      <c r="D50" s="21">
        <f>'FREEVAL INPUT 2045 Hourly'!E$54*'Rate Calculations &amp; PHF'!$BB7</f>
        <v>218.04424317097386</v>
      </c>
      <c r="E50" s="21">
        <f>'FREEVAL INPUT 2045 Hourly'!F$54*'Rate Calculations &amp; PHF'!$BB7</f>
        <v>1708.9217558525077</v>
      </c>
      <c r="F50" s="21">
        <f>'FREEVAL INPUT 2045 Hourly'!G$54*'Rate Calculations &amp; PHF'!$BB7</f>
        <v>107.65934506566835</v>
      </c>
      <c r="G50" s="21">
        <f>'FREEVAL INPUT 2045 Hourly'!H$54*'Rate Calculations &amp; PHF'!$BB7</f>
        <v>1816.5811009181759</v>
      </c>
      <c r="H50" s="21">
        <f>'FREEVAL INPUT 2045 Hourly'!I$54*'Rate Calculations &amp; PHF'!$BB7</f>
        <v>324.34081171682362</v>
      </c>
      <c r="I50" s="21">
        <f>'FREEVAL INPUT 2045 Hourly'!J$54*'Rate Calculations &amp; PHF'!$BB7</f>
        <v>1492.2402892013522</v>
      </c>
      <c r="J50" s="21">
        <f>'FREEVAL INPUT 2045 Hourly'!K$54*'Rate Calculations &amp; PHF'!$BB7</f>
        <v>1060.2401324188604</v>
      </c>
      <c r="K50" s="21">
        <f>'FREEVAL INPUT 2045 Hourly'!L$54*'Rate Calculations &amp; PHF'!$BB7</f>
        <v>2552.4804216202128</v>
      </c>
      <c r="L50" s="21">
        <f>'FREEVAL INPUT 2045 Hourly'!M$54*'Rate Calculations &amp; PHF'!$BB7</f>
        <v>201.69092493315082</v>
      </c>
      <c r="M50" s="21">
        <f>'FREEVAL INPUT 2045 Hourly'!N$54*'Rate Calculations &amp; PHF'!$BB7</f>
        <v>2350.7894966870617</v>
      </c>
      <c r="N50" s="21">
        <f>'FREEVAL INPUT 2045 Hourly'!O$54*'Rate Calculations &amp; PHF'!$BB7</f>
        <v>1083.4073332557762</v>
      </c>
      <c r="O50" s="21">
        <f>'FREEVAL INPUT 2045 Hourly'!P$54*'Rate Calculations &amp; PHF'!$BB7</f>
        <v>3434.1968299428386</v>
      </c>
      <c r="P50" s="21">
        <f>'FREEVAL INPUT 2045 Hourly'!Q$54*'Rate Calculations &amp; PHF'!$BB7</f>
        <v>141.72875806113299</v>
      </c>
      <c r="Q50" s="21">
        <f>'FREEVAL INPUT 2045 Hourly'!R$54*'Rate Calculations &amp; PHF'!$BB7</f>
        <v>3292.4680718817053</v>
      </c>
    </row>
    <row r="51" spans="1:17" x14ac:dyDescent="0.25">
      <c r="A51" s="38"/>
      <c r="B51" s="20">
        <v>0.64583333333333304</v>
      </c>
      <c r="C51" s="21">
        <f>'FREEVAL INPUT 2045 Hourly'!D$54*'Rate Calculations &amp; PHF'!$BB8</f>
        <v>1976.3753836138271</v>
      </c>
      <c r="D51" s="21">
        <f>'FREEVAL INPUT 2045 Hourly'!E$54*'Rate Calculations &amp; PHF'!$BB8</f>
        <v>223.63512120099884</v>
      </c>
      <c r="E51" s="21">
        <f>'FREEVAL INPUT 2045 Hourly'!F$54*'Rate Calculations &amp; PHF'!$BB8</f>
        <v>1752.7402624128283</v>
      </c>
      <c r="F51" s="21">
        <f>'FREEVAL INPUT 2045 Hourly'!G$54*'Rate Calculations &amp; PHF'!$BB8</f>
        <v>110.41984109299318</v>
      </c>
      <c r="G51" s="21">
        <f>'FREEVAL INPUT 2045 Hourly'!H$54*'Rate Calculations &amp; PHF'!$BB8</f>
        <v>1863.1601035058216</v>
      </c>
      <c r="H51" s="21">
        <f>'FREEVAL INPUT 2045 Hourly'!I$54*'Rate Calculations &amp; PHF'!$BB8</f>
        <v>332.65724278648577</v>
      </c>
      <c r="I51" s="21">
        <f>'FREEVAL INPUT 2045 Hourly'!J$54*'Rate Calculations &amp; PHF'!$BB8</f>
        <v>1530.5028607193356</v>
      </c>
      <c r="J51" s="21">
        <f>'FREEVAL INPUT 2045 Hourly'!K$54*'Rate Calculations &amp; PHF'!$BB8</f>
        <v>1087.4257768398568</v>
      </c>
      <c r="K51" s="21">
        <f>'FREEVAL INPUT 2045 Hourly'!L$54*'Rate Calculations &amp; PHF'!$BB8</f>
        <v>2617.9286375591928</v>
      </c>
      <c r="L51" s="21">
        <f>'FREEVAL INPUT 2045 Hourly'!M$54*'Rate Calculations &amp; PHF'!$BB8</f>
        <v>206.86248711092392</v>
      </c>
      <c r="M51" s="21">
        <f>'FREEVAL INPUT 2045 Hourly'!N$54*'Rate Calculations &amp; PHF'!$BB8</f>
        <v>2411.0661504482687</v>
      </c>
      <c r="N51" s="21">
        <f>'FREEVAL INPUT 2045 Hourly'!O$54*'Rate Calculations &amp; PHF'!$BB8</f>
        <v>1111.1870084674629</v>
      </c>
      <c r="O51" s="21">
        <f>'FREEVAL INPUT 2045 Hourly'!P$54*'Rate Calculations &amp; PHF'!$BB8</f>
        <v>3522.253158915732</v>
      </c>
      <c r="P51" s="21">
        <f>'FREEVAL INPUT 2045 Hourly'!Q$54*'Rate Calculations &amp; PHF'!$BB8</f>
        <v>145.36282878064924</v>
      </c>
      <c r="Q51" s="21">
        <f>'FREEVAL INPUT 2045 Hourly'!R$54*'Rate Calculations &amp; PHF'!$BB8</f>
        <v>3376.8903301350824</v>
      </c>
    </row>
    <row r="52" spans="1:17" x14ac:dyDescent="0.25">
      <c r="A52" s="38"/>
      <c r="B52" s="20">
        <v>0.65625</v>
      </c>
      <c r="C52" s="21">
        <f>'FREEVAL INPUT 2045 Hourly'!D$54*'Rate Calculations &amp; PHF'!$BB9</f>
        <v>2075.1941527945187</v>
      </c>
      <c r="D52" s="21">
        <f>'FREEVAL INPUT 2045 Hourly'!E$54*'Rate Calculations &amp; PHF'!$BB9</f>
        <v>234.8168772610488</v>
      </c>
      <c r="E52" s="21">
        <f>'FREEVAL INPUT 2045 Hourly'!F$54*'Rate Calculations &amp; PHF'!$BB9</f>
        <v>1840.3772755334699</v>
      </c>
      <c r="F52" s="21">
        <f>'FREEVAL INPUT 2045 Hourly'!G$54*'Rate Calculations &amp; PHF'!$BB9</f>
        <v>115.94083314764285</v>
      </c>
      <c r="G52" s="21">
        <f>'FREEVAL INPUT 2045 Hourly'!H$54*'Rate Calculations &amp; PHF'!$BB9</f>
        <v>1956.3181086811128</v>
      </c>
      <c r="H52" s="21">
        <f>'FREEVAL INPUT 2045 Hourly'!I$54*'Rate Calculations &amp; PHF'!$BB9</f>
        <v>349.29010492581006</v>
      </c>
      <c r="I52" s="21">
        <f>'FREEVAL INPUT 2045 Hourly'!J$54*'Rate Calculations &amp; PHF'!$BB9</f>
        <v>1607.0280037553025</v>
      </c>
      <c r="J52" s="21">
        <f>'FREEVAL INPUT 2045 Hourly'!K$54*'Rate Calculations &amp; PHF'!$BB9</f>
        <v>1141.7970656818497</v>
      </c>
      <c r="K52" s="21">
        <f>'FREEVAL INPUT 2045 Hourly'!L$54*'Rate Calculations &amp; PHF'!$BB9</f>
        <v>2748.8250694371527</v>
      </c>
      <c r="L52" s="21">
        <f>'FREEVAL INPUT 2045 Hourly'!M$54*'Rate Calculations &amp; PHF'!$BB9</f>
        <v>217.20561146647012</v>
      </c>
      <c r="M52" s="21">
        <f>'FREEVAL INPUT 2045 Hourly'!N$54*'Rate Calculations &amp; PHF'!$BB9</f>
        <v>2531.6194579706821</v>
      </c>
      <c r="N52" s="21">
        <f>'FREEVAL INPUT 2045 Hourly'!O$54*'Rate Calculations &amp; PHF'!$BB9</f>
        <v>1166.7463588908361</v>
      </c>
      <c r="O52" s="21">
        <f>'FREEVAL INPUT 2045 Hourly'!P$54*'Rate Calculations &amp; PHF'!$BB9</f>
        <v>3698.3658168615189</v>
      </c>
      <c r="P52" s="21">
        <f>'FREEVAL INPUT 2045 Hourly'!Q$54*'Rate Calculations &amp; PHF'!$BB9</f>
        <v>152.6309702196817</v>
      </c>
      <c r="Q52" s="21">
        <f>'FREEVAL INPUT 2045 Hourly'!R$54*'Rate Calculations &amp; PHF'!$BB9</f>
        <v>3545.7348466418366</v>
      </c>
    </row>
    <row r="53" spans="1:17" s="78" customFormat="1" x14ac:dyDescent="0.25">
      <c r="A53" s="85"/>
      <c r="B53" s="86">
        <v>0.66666666666666696</v>
      </c>
      <c r="C53" s="90">
        <f>E53-D53</f>
        <v>1031.8967479474752</v>
      </c>
      <c r="D53" s="87">
        <f>'FREEVAL INPUT 2045 Hourly'!E$55*(1-(1/(VLOOKUP('FREEVAL INPUT 2045 Hourly'!E$55,'Rate Calculations &amp; PHF'!$AX$6:$AZ$11,3,TRUE))-0.9)/3)</f>
        <v>349.7550724637681</v>
      </c>
      <c r="E53" s="87">
        <f>G53-F53</f>
        <v>1381.6518204112433</v>
      </c>
      <c r="F53" s="87">
        <f>'FREEVAL INPUT 2045 Hourly'!G$55*(1-(1/(VLOOKUP('FREEVAL INPUT 2045 Hourly'!G$55,'Rate Calculations &amp; PHF'!$AX$6:$AZ$11,3,TRUE))-0.9)/3)</f>
        <v>558.35519713261647</v>
      </c>
      <c r="G53" s="87">
        <f>'FREEVAL INPUT 2045 Hourly'!H$55*(1-(1/(VLOOKUP('FREEVAL INPUT 2045 Hourly'!H$55,'Rate Calculations &amp; PHF'!$AX$6:$AZ$11,3,TRUE))-0.9)/3)</f>
        <v>1940.0070175438598</v>
      </c>
      <c r="H53" s="87">
        <f>'FREEVAL INPUT 2045 Hourly'!I$55*(1-(1/(VLOOKUP('FREEVAL INPUT 2045 Hourly'!I$55,'Rate Calculations &amp; PHF'!$AX$6:$AZ$11,3,TRUE))-0.9)/3)</f>
        <v>302.8710144927536</v>
      </c>
      <c r="I53" s="87">
        <f>G53-H53</f>
        <v>1637.1360030511062</v>
      </c>
      <c r="J53" s="87">
        <f>'FREEVAL INPUT 2045 Hourly'!K$55*(1-(1/(VLOOKUP('FREEVAL INPUT 2045 Hourly'!K$55,'Rate Calculations &amp; PHF'!$AX$6:$AZ$11,3,TRUE))-0.9)/3)</f>
        <v>953.86842105263167</v>
      </c>
      <c r="K53" s="87">
        <f>I53+J53</f>
        <v>2591.0044241037376</v>
      </c>
      <c r="L53" s="87">
        <f>'FREEVAL INPUT 2045 Hourly'!M$55*(1-(1/(VLOOKUP('FREEVAL INPUT 2045 Hourly'!M$55,'Rate Calculations &amp; PHF'!$AX$6:$AZ$11,3,TRUE))-0.9)/3)</f>
        <v>262.55072463768113</v>
      </c>
      <c r="M53" s="87">
        <f>K53-L53</f>
        <v>2328.4536994660566</v>
      </c>
      <c r="N53" s="87">
        <f>'FREEVAL INPUT 2045 Hourly'!O$55*(1-(1/(VLOOKUP('FREEVAL INPUT 2045 Hourly'!O$55,'Rate Calculations &amp; PHF'!$AX$6:$AZ$11,3,TRUE))-0.9)/3)</f>
        <v>884.14086021505375</v>
      </c>
      <c r="O53" s="87">
        <f>M53+N53</f>
        <v>3212.5945596811102</v>
      </c>
      <c r="P53" s="87">
        <f>'FREEVAL INPUT 2045 Hourly'!Q$55*(1-(1/(VLOOKUP('FREEVAL INPUT 2045 Hourly'!Q$55,'Rate Calculations &amp; PHF'!$AX$6:$AZ$11,3,TRUE))-0.9)/3)</f>
        <v>111.85670498084292</v>
      </c>
      <c r="Q53" s="87">
        <f>O53+P53</f>
        <v>3324.4512646619532</v>
      </c>
    </row>
    <row r="54" spans="1:17" s="78" customFormat="1" x14ac:dyDescent="0.25">
      <c r="A54" s="85"/>
      <c r="B54" s="86">
        <v>0.67708333333333304</v>
      </c>
      <c r="C54" s="90">
        <f t="shared" ref="C54:C56" si="5">E54-D54</f>
        <v>1085.7967479474748</v>
      </c>
      <c r="D54" s="87">
        <f>'FREEVAL INPUT 2045 Hourly'!E$55*(1-(1/(VLOOKUP('FREEVAL INPUT 2045 Hourly'!E$55,'Rate Calculations &amp; PHF'!$AX$6:$AZ$11,3,TRUE))-1.05)/3)</f>
        <v>368.40507246376814</v>
      </c>
      <c r="E54" s="87">
        <f>G54-F54</f>
        <v>1454.201820411243</v>
      </c>
      <c r="F54" s="87">
        <f>'FREEVAL INPUT 2045 Hourly'!G$55*(1-(1/(VLOOKUP('FREEVAL INPUT 2045 Hourly'!G$55,'Rate Calculations &amp; PHF'!$AX$6:$AZ$11,3,TRUE))-1.05)/3)</f>
        <v>588.00519713261656</v>
      </c>
      <c r="G54" s="87">
        <f>'FREEVAL INPUT 2045 Hourly'!H$55*(1-(1/(VLOOKUP('FREEVAL INPUT 2045 Hourly'!H$55,'Rate Calculations &amp; PHF'!$AX$6:$AZ$11,3,TRUE))-1.05)/3)</f>
        <v>2042.2070175438596</v>
      </c>
      <c r="H54" s="87">
        <f>'FREEVAL INPUT 2045 Hourly'!I$55*(1-(1/(VLOOKUP('FREEVAL INPUT 2045 Hourly'!I$55,'Rate Calculations &amp; PHF'!$AX$6:$AZ$11,3,TRUE))-1.05)/3)</f>
        <v>319.02101449275364</v>
      </c>
      <c r="I54" s="87">
        <f>G54-H54</f>
        <v>1723.1860030511059</v>
      </c>
      <c r="J54" s="87">
        <f>'FREEVAL INPUT 2045 Hourly'!K$55*(1-(1/(VLOOKUP('FREEVAL INPUT 2045 Hourly'!K$55,'Rate Calculations &amp; PHF'!$AX$6:$AZ$11,3,TRUE))-1.05)/3)</f>
        <v>1004.1184210526316</v>
      </c>
      <c r="K54" s="87">
        <f>I54+J54</f>
        <v>2727.3044241037373</v>
      </c>
      <c r="L54" s="87">
        <f>'FREEVAL INPUT 2045 Hourly'!M$55*(1-(1/(VLOOKUP('FREEVAL INPUT 2045 Hourly'!M$55,'Rate Calculations &amp; PHF'!$AX$6:$AZ$11,3,TRUE))-1.05)/3)</f>
        <v>276.55072463768118</v>
      </c>
      <c r="M54" s="87">
        <f>K54-L54</f>
        <v>2450.7536994660563</v>
      </c>
      <c r="N54" s="87">
        <f>'FREEVAL INPUT 2045 Hourly'!O$55*(1-(1/(VLOOKUP('FREEVAL INPUT 2045 Hourly'!O$55,'Rate Calculations &amp; PHF'!$AX$6:$AZ$11,3,TRUE))-1.05)/3)</f>
        <v>931.09086021505379</v>
      </c>
      <c r="O54" s="87">
        <f>M54+N54</f>
        <v>3381.8445596811102</v>
      </c>
      <c r="P54" s="87">
        <f>'FREEVAL INPUT 2045 Hourly'!Q$55*(1-(1/(VLOOKUP('FREEVAL INPUT 2045 Hourly'!Q$55,'Rate Calculations &amp; PHF'!$AX$6:$AZ$11,3,TRUE))-1.05)/3)</f>
        <v>117.95670498084291</v>
      </c>
      <c r="Q54" s="87">
        <f>O54+P54</f>
        <v>3499.8012646619532</v>
      </c>
    </row>
    <row r="55" spans="1:17" s="78" customFormat="1" x14ac:dyDescent="0.25">
      <c r="A55" s="85"/>
      <c r="B55" s="86">
        <v>0.6875</v>
      </c>
      <c r="C55" s="90">
        <f t="shared" si="5"/>
        <v>1108.5097561575749</v>
      </c>
      <c r="D55" s="87">
        <f>('FREEVAL INPUT 2045 Hourly'!E55*(1/((VLOOKUP('FREEVAL INPUT 2045 Hourly'!E55,'Rate Calculations &amp; PHF'!$AX$6:$AZ$11,3,TRUE)))))</f>
        <v>405.43478260869563</v>
      </c>
      <c r="E55" s="87">
        <f>G55-F55</f>
        <v>1513.9445387662704</v>
      </c>
      <c r="F55" s="87">
        <f>('FREEVAL INPUT 2045 Hourly'!G55*(1/((VLOOKUP('FREEVAL INPUT 2045 Hourly'!G55,'Rate Calculations &amp; PHF'!$AX$6:$AZ$11,3,TRUE)))))</f>
        <v>637.63440860215053</v>
      </c>
      <c r="G55" s="87">
        <f>('FREEVAL INPUT 2045 Hourly'!H55*(1/((VLOOKUP('FREEVAL INPUT 2045 Hourly'!H55,'Rate Calculations &amp; PHF'!$AX$6:$AZ$11,3,TRUE)))))</f>
        <v>2151.5789473684208</v>
      </c>
      <c r="H55" s="87">
        <f>('FREEVAL INPUT 2045 Hourly'!I55*(1/((VLOOKUP('FREEVAL INPUT 2045 Hourly'!I55,'Rate Calculations &amp; PHF'!$AX$6:$AZ$11,3,TRUE)))))</f>
        <v>351.08695652173913</v>
      </c>
      <c r="I55" s="87">
        <f>G55-H55</f>
        <v>1800.4919908466818</v>
      </c>
      <c r="J55" s="87">
        <f>('FREEVAL INPUT 2045 Hourly'!K55*(1/((VLOOKUP('FREEVAL INPUT 2045 Hourly'!K55,'Rate Calculations &amp; PHF'!$AX$6:$AZ$11,3,TRUE)))))</f>
        <v>1057.8947368421052</v>
      </c>
      <c r="K55" s="87">
        <f>I55+J55</f>
        <v>2858.3867276887868</v>
      </c>
      <c r="L55" s="87">
        <f>('FREEVAL INPUT 2045 Hourly'!M55*(1/((VLOOKUP('FREEVAL INPUT 2045 Hourly'!M55,'Rate Calculations &amp; PHF'!$AX$6:$AZ$11,3,TRUE)))))</f>
        <v>304.3478260869565</v>
      </c>
      <c r="M55" s="87">
        <f>K55-L55</f>
        <v>2554.0389016018303</v>
      </c>
      <c r="N55" s="87">
        <f>('FREEVAL INPUT 2045 Hourly'!O55*(1/((VLOOKUP('FREEVAL INPUT 2045 Hourly'!O55,'Rate Calculations &amp; PHF'!$AX$6:$AZ$11,3,TRUE)))))</f>
        <v>1009.6774193548387</v>
      </c>
      <c r="O55" s="87">
        <f>M55+N55</f>
        <v>3563.7163209566688</v>
      </c>
      <c r="P55" s="87">
        <f>('FREEVAL INPUT 2045 Hourly'!Q55*(1/((VLOOKUP('FREEVAL INPUT 2045 Hourly'!Q55,'Rate Calculations &amp; PHF'!$AX$6:$AZ$11,3,TRUE)))))</f>
        <v>140.22988505747125</v>
      </c>
      <c r="Q55" s="87">
        <f>O55+P55</f>
        <v>3703.94620601414</v>
      </c>
    </row>
    <row r="56" spans="1:17" s="78" customFormat="1" x14ac:dyDescent="0.25">
      <c r="A56" s="85"/>
      <c r="B56" s="86">
        <v>0.69791666666666696</v>
      </c>
      <c r="C56" s="90">
        <f t="shared" si="5"/>
        <v>1085.7967479474748</v>
      </c>
      <c r="D56" s="87">
        <f>'FREEVAL INPUT 2045 Hourly'!E$55*(1-(1/(VLOOKUP('FREEVAL INPUT 2045 Hourly'!E$55,'Rate Calculations &amp; PHF'!$AX$6:$AZ$11,3,TRUE))-1.05)/3)</f>
        <v>368.40507246376814</v>
      </c>
      <c r="E56" s="87">
        <f>G56-F56</f>
        <v>1454.201820411243</v>
      </c>
      <c r="F56" s="87">
        <f>'FREEVAL INPUT 2045 Hourly'!G$55*(1-(1/(VLOOKUP('FREEVAL INPUT 2045 Hourly'!G$55,'Rate Calculations &amp; PHF'!$AX$6:$AZ$11,3,TRUE))-1.05)/3)</f>
        <v>588.00519713261656</v>
      </c>
      <c r="G56" s="87">
        <f>'FREEVAL INPUT 2045 Hourly'!H$55*(1-(1/(VLOOKUP('FREEVAL INPUT 2045 Hourly'!H$55,'Rate Calculations &amp; PHF'!$AX$6:$AZ$11,3,TRUE))-1.05)/3)</f>
        <v>2042.2070175438596</v>
      </c>
      <c r="H56" s="87">
        <f>'FREEVAL INPUT 2045 Hourly'!I$55*(1-(1/(VLOOKUP('FREEVAL INPUT 2045 Hourly'!I$55,'Rate Calculations &amp; PHF'!$AX$6:$AZ$11,3,TRUE))-1.05)/3)</f>
        <v>319.02101449275364</v>
      </c>
      <c r="I56" s="87">
        <f>G56-H56</f>
        <v>1723.1860030511059</v>
      </c>
      <c r="J56" s="87">
        <f>'FREEVAL INPUT 2045 Hourly'!K$55*(1-(1/(VLOOKUP('FREEVAL INPUT 2045 Hourly'!K$55,'Rate Calculations &amp; PHF'!$AX$6:$AZ$11,3,TRUE))-1.05)/3)</f>
        <v>1004.1184210526316</v>
      </c>
      <c r="K56" s="87">
        <f>I56+J56</f>
        <v>2727.3044241037373</v>
      </c>
      <c r="L56" s="87">
        <f>'FREEVAL INPUT 2045 Hourly'!M$55*(1-(1/(VLOOKUP('FREEVAL INPUT 2045 Hourly'!M$55,'Rate Calculations &amp; PHF'!$AX$6:$AZ$11,3,TRUE))-1.05)/3)</f>
        <v>276.55072463768118</v>
      </c>
      <c r="M56" s="87">
        <f>K56-L56</f>
        <v>2450.7536994660563</v>
      </c>
      <c r="N56" s="87">
        <f>'FREEVAL INPUT 2045 Hourly'!O$55*(1-(1/(VLOOKUP('FREEVAL INPUT 2045 Hourly'!O$55,'Rate Calculations &amp; PHF'!$AX$6:$AZ$11,3,TRUE))-1.05)/3)</f>
        <v>931.09086021505379</v>
      </c>
      <c r="O56" s="87">
        <f>M56+N56</f>
        <v>3381.8445596811102</v>
      </c>
      <c r="P56" s="87">
        <f>'FREEVAL INPUT 2045 Hourly'!Q$55*(1-(1/(VLOOKUP('FREEVAL INPUT 2045 Hourly'!Q$55,'Rate Calculations &amp; PHF'!$AX$6:$AZ$11,3,TRUE))-1.05)/3)</f>
        <v>117.95670498084291</v>
      </c>
      <c r="Q56" s="87">
        <f>O56+P56</f>
        <v>3499.8012646619532</v>
      </c>
    </row>
    <row r="57" spans="1:17" x14ac:dyDescent="0.25">
      <c r="A57" s="38"/>
      <c r="B57" s="20">
        <v>0.70833333333333304</v>
      </c>
      <c r="C57" s="21">
        <f>'FREEVAL INPUT 2045 Hourly'!D$56*'Rate Calculations &amp; PHF'!$BC6</f>
        <v>2100.1434460035052</v>
      </c>
      <c r="D57" s="21">
        <f>'FREEVAL INPUT 2045 Hourly'!E$56*'Rate Calculations &amp; PHF'!$BC6</f>
        <v>294.98870205919252</v>
      </c>
      <c r="E57" s="21">
        <f>'FREEVAL INPUT 2045 Hourly'!F$56*'Rate Calculations &amp; PHF'!$BC6</f>
        <v>1805.1547439443125</v>
      </c>
      <c r="F57" s="21">
        <f>'FREEVAL INPUT 2045 Hourly'!G$56*'Rate Calculations &amp; PHF'!$BC6</f>
        <v>154.09857570256327</v>
      </c>
      <c r="G57" s="21">
        <f>'FREEVAL INPUT 2045 Hourly'!H$56*'Rate Calculations &amp; PHF'!$BC6</f>
        <v>1959.253319646876</v>
      </c>
      <c r="H57" s="21">
        <f>'FREEVAL INPUT 2045 Hourly'!I$56*'Rate Calculations &amp; PHF'!$BC6</f>
        <v>385.98024199784891</v>
      </c>
      <c r="I57" s="21">
        <f>'FREEVAL INPUT 2045 Hourly'!J$56*'Rate Calculations &amp; PHF'!$BC6</f>
        <v>1573.2730776490268</v>
      </c>
      <c r="J57" s="21">
        <f>'FREEVAL INPUT 2045 Hourly'!K$56*'Rate Calculations &amp; PHF'!$BC6</f>
        <v>1235.7238165862691</v>
      </c>
      <c r="K57" s="21">
        <f>'FREEVAL INPUT 2045 Hourly'!L$56*'Rate Calculations &amp; PHF'!$BC6</f>
        <v>2808.9968942352962</v>
      </c>
      <c r="L57" s="21">
        <f>'FREEVAL INPUT 2045 Hourly'!M$56*'Rate Calculations &amp; PHF'!$BC6</f>
        <v>331.67883913123143</v>
      </c>
      <c r="M57" s="21">
        <f>'FREEVAL INPUT 2045 Hourly'!N$56*'Rate Calculations &amp; PHF'!$BC6</f>
        <v>2477.3180551040646</v>
      </c>
      <c r="N57" s="21">
        <f>'FREEVAL INPUT 2045 Hourly'!O$56*'Rate Calculations &amp; PHF'!$BC6</f>
        <v>1072.8196079864167</v>
      </c>
      <c r="O57" s="21">
        <f>'FREEVAL INPUT 2045 Hourly'!P$56*'Rate Calculations &amp; PHF'!$BC6</f>
        <v>3550.1376630904811</v>
      </c>
      <c r="P57" s="21">
        <f>'FREEVAL INPUT 2045 Hourly'!Q$56*'Rate Calculations &amp; PHF'!$BC6</f>
        <v>139.42252087374771</v>
      </c>
      <c r="Q57" s="21">
        <f>'FREEVAL INPUT 2045 Hourly'!R$56*'Rate Calculations &amp; PHF'!$BC6</f>
        <v>3410.715142216734</v>
      </c>
    </row>
    <row r="58" spans="1:17" x14ac:dyDescent="0.25">
      <c r="A58" s="38"/>
      <c r="B58" s="20">
        <v>0.71875</v>
      </c>
      <c r="C58" s="21">
        <f>'FREEVAL INPUT 2045 Hourly'!D$56*'Rate Calculations &amp; PHF'!$BC7</f>
        <v>2000.1366152414334</v>
      </c>
      <c r="D58" s="21">
        <f>'FREEVAL INPUT 2045 Hourly'!E$56*'Rate Calculations &amp; PHF'!$BC7</f>
        <v>280.94162100875479</v>
      </c>
      <c r="E58" s="21">
        <f>'FREEVAL INPUT 2045 Hourly'!F$56*'Rate Calculations &amp; PHF'!$BC7</f>
        <v>1719.1949942326785</v>
      </c>
      <c r="F58" s="21">
        <f>'FREEVAL INPUT 2045 Hourly'!G$56*'Rate Calculations &amp; PHF'!$BC7</f>
        <v>146.76054828815549</v>
      </c>
      <c r="G58" s="21">
        <f>'FREEVAL INPUT 2045 Hourly'!H$56*'Rate Calculations &amp; PHF'!$BC7</f>
        <v>1865.9555425208341</v>
      </c>
      <c r="H58" s="21">
        <f>'FREEVAL INPUT 2045 Hourly'!I$56*'Rate Calculations &amp; PHF'!$BC7</f>
        <v>367.60023047414182</v>
      </c>
      <c r="I58" s="21">
        <f>'FREEVAL INPUT 2045 Hourly'!J$56*'Rate Calculations &amp; PHF'!$BC7</f>
        <v>1498.3553120466922</v>
      </c>
      <c r="J58" s="21">
        <f>'FREEVAL INPUT 2045 Hourly'!K$56*'Rate Calculations &amp; PHF'!$BC7</f>
        <v>1176.8798253202563</v>
      </c>
      <c r="K58" s="21">
        <f>'FREEVAL INPUT 2045 Hourly'!L$56*'Rate Calculations &amp; PHF'!$BC7</f>
        <v>2675.2351373669485</v>
      </c>
      <c r="L58" s="21">
        <f>'FREEVAL INPUT 2045 Hourly'!M$56*'Rate Calculations &amp; PHF'!$BC7</f>
        <v>315.88460869641085</v>
      </c>
      <c r="M58" s="21">
        <f>'FREEVAL INPUT 2045 Hourly'!N$56*'Rate Calculations &amp; PHF'!$BC7</f>
        <v>2359.3505286705376</v>
      </c>
      <c r="N58" s="21">
        <f>'FREEVAL INPUT 2045 Hourly'!O$56*'Rate Calculations &amp; PHF'!$BC7</f>
        <v>1021.7329599870634</v>
      </c>
      <c r="O58" s="21">
        <f>'FREEVAL INPUT 2045 Hourly'!P$56*'Rate Calculations &amp; PHF'!$BC7</f>
        <v>3381.0834886576008</v>
      </c>
      <c r="P58" s="21">
        <f>'FREEVAL INPUT 2045 Hourly'!Q$56*'Rate Calculations &amp; PHF'!$BC7</f>
        <v>132.78335321309305</v>
      </c>
      <c r="Q58" s="21">
        <f>'FREEVAL INPUT 2045 Hourly'!R$56*'Rate Calculations &amp; PHF'!$BC7</f>
        <v>3248.3001354445082</v>
      </c>
    </row>
    <row r="59" spans="1:17" x14ac:dyDescent="0.25">
      <c r="A59" s="38"/>
      <c r="B59" s="20">
        <v>0.72916666666666696</v>
      </c>
      <c r="C59" s="21">
        <f>'FREEVAL INPUT 2045 Hourly'!D$56*'Rate Calculations &amp; PHF'!$BC8</f>
        <v>1950.1331998603976</v>
      </c>
      <c r="D59" s="21">
        <f>'FREEVAL INPUT 2045 Hourly'!E$56*'Rate Calculations &amp; PHF'!$BC8</f>
        <v>273.9180804835359</v>
      </c>
      <c r="E59" s="21">
        <f>'FREEVAL INPUT 2045 Hourly'!F$56*'Rate Calculations &amp; PHF'!$BC8</f>
        <v>1676.2151193768616</v>
      </c>
      <c r="F59" s="21">
        <f>'FREEVAL INPUT 2045 Hourly'!G$56*'Rate Calculations &amp; PHF'!$BC8</f>
        <v>143.09153458095159</v>
      </c>
      <c r="G59" s="21">
        <f>'FREEVAL INPUT 2045 Hourly'!H$56*'Rate Calculations &amp; PHF'!$BC8</f>
        <v>1819.3066539578133</v>
      </c>
      <c r="H59" s="21">
        <f>'FREEVAL INPUT 2045 Hourly'!I$56*'Rate Calculations &amp; PHF'!$BC8</f>
        <v>358.41022471228825</v>
      </c>
      <c r="I59" s="21">
        <f>'FREEVAL INPUT 2045 Hourly'!J$56*'Rate Calculations &amp; PHF'!$BC8</f>
        <v>1460.8964292455248</v>
      </c>
      <c r="J59" s="21">
        <f>'FREEVAL INPUT 2045 Hourly'!K$56*'Rate Calculations &amp; PHF'!$BC8</f>
        <v>1147.4578296872498</v>
      </c>
      <c r="K59" s="21">
        <f>'FREEVAL INPUT 2045 Hourly'!L$56*'Rate Calculations &amp; PHF'!$BC8</f>
        <v>2608.3542589327749</v>
      </c>
      <c r="L59" s="21">
        <f>'FREEVAL INPUT 2045 Hourly'!M$56*'Rate Calculations &amp; PHF'!$BC8</f>
        <v>307.98749347900059</v>
      </c>
      <c r="M59" s="21">
        <f>'FREEVAL INPUT 2045 Hourly'!N$56*'Rate Calculations &amp; PHF'!$BC8</f>
        <v>2300.366765453774</v>
      </c>
      <c r="N59" s="21">
        <f>'FREEVAL INPUT 2045 Hourly'!O$56*'Rate Calculations &amp; PHF'!$BC8</f>
        <v>996.18963598738674</v>
      </c>
      <c r="O59" s="21">
        <f>'FREEVAL INPUT 2045 Hourly'!P$56*'Rate Calculations &amp; PHF'!$BC8</f>
        <v>3296.5564014411607</v>
      </c>
      <c r="P59" s="21">
        <f>'FREEVAL INPUT 2045 Hourly'!Q$56*'Rate Calculations &amp; PHF'!$BC8</f>
        <v>129.46376938276572</v>
      </c>
      <c r="Q59" s="21">
        <f>'FREEVAL INPUT 2045 Hourly'!R$56*'Rate Calculations &amp; PHF'!$BC8</f>
        <v>3167.0926320583953</v>
      </c>
    </row>
    <row r="60" spans="1:17" x14ac:dyDescent="0.25">
      <c r="A60" s="38"/>
      <c r="B60" s="20">
        <v>0.73958333333333304</v>
      </c>
      <c r="C60" s="21">
        <f>'FREEVAL INPUT 2045 Hourly'!D$56*'Rate Calculations &amp; PHF'!$BC9</f>
        <v>1950.1331998603976</v>
      </c>
      <c r="D60" s="21">
        <f>'FREEVAL INPUT 2045 Hourly'!E$56*'Rate Calculations &amp; PHF'!$BC9</f>
        <v>273.9180804835359</v>
      </c>
      <c r="E60" s="21">
        <f>'FREEVAL INPUT 2045 Hourly'!F$56*'Rate Calculations &amp; PHF'!$BC9</f>
        <v>1676.2151193768616</v>
      </c>
      <c r="F60" s="21">
        <f>'FREEVAL INPUT 2045 Hourly'!G$56*'Rate Calculations &amp; PHF'!$BC9</f>
        <v>143.09153458095159</v>
      </c>
      <c r="G60" s="21">
        <f>'FREEVAL INPUT 2045 Hourly'!H$56*'Rate Calculations &amp; PHF'!$BC9</f>
        <v>1819.3066539578133</v>
      </c>
      <c r="H60" s="21">
        <f>'FREEVAL INPUT 2045 Hourly'!I$56*'Rate Calculations &amp; PHF'!$BC9</f>
        <v>358.41022471228825</v>
      </c>
      <c r="I60" s="21">
        <f>'FREEVAL INPUT 2045 Hourly'!J$56*'Rate Calculations &amp; PHF'!$BC9</f>
        <v>1460.8964292455248</v>
      </c>
      <c r="J60" s="21">
        <f>'FREEVAL INPUT 2045 Hourly'!K$56*'Rate Calculations &amp; PHF'!$BC9</f>
        <v>1147.4578296872498</v>
      </c>
      <c r="K60" s="21">
        <f>'FREEVAL INPUT 2045 Hourly'!L$56*'Rate Calculations &amp; PHF'!$BC9</f>
        <v>2608.3542589327749</v>
      </c>
      <c r="L60" s="21">
        <f>'FREEVAL INPUT 2045 Hourly'!M$56*'Rate Calculations &amp; PHF'!$BC9</f>
        <v>307.98749347900059</v>
      </c>
      <c r="M60" s="21">
        <f>'FREEVAL INPUT 2045 Hourly'!N$56*'Rate Calculations &amp; PHF'!$BC9</f>
        <v>2300.366765453774</v>
      </c>
      <c r="N60" s="21">
        <f>'FREEVAL INPUT 2045 Hourly'!O$56*'Rate Calculations &amp; PHF'!$BC9</f>
        <v>996.18963598738674</v>
      </c>
      <c r="O60" s="21">
        <f>'FREEVAL INPUT 2045 Hourly'!P$56*'Rate Calculations &amp; PHF'!$BC9</f>
        <v>3296.5564014411607</v>
      </c>
      <c r="P60" s="21">
        <f>'FREEVAL INPUT 2045 Hourly'!Q$56*'Rate Calculations &amp; PHF'!$BC9</f>
        <v>129.46376938276572</v>
      </c>
      <c r="Q60" s="21">
        <f>'FREEVAL INPUT 2045 Hourly'!R$56*'Rate Calculations &amp; PHF'!$BC9</f>
        <v>3167.0926320583953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10" workbookViewId="0"/>
  </sheetViews>
  <sheetFormatPr defaultRowHeight="15" x14ac:dyDescent="0.25"/>
  <cols>
    <col min="1" max="1" width="13" style="24" customWidth="1"/>
    <col min="2" max="10" width="5.85546875" style="24" customWidth="1"/>
    <col min="11" max="11" width="6.85546875" style="24" customWidth="1"/>
    <col min="12" max="22" width="5.85546875" style="24" customWidth="1"/>
    <col min="23" max="16384" width="9.140625" style="24"/>
  </cols>
  <sheetData>
    <row r="1" spans="1:22" ht="14.25" customHeight="1" x14ac:dyDescent="0.25">
      <c r="A1" s="23" t="s">
        <v>44</v>
      </c>
    </row>
    <row r="2" spans="1:22" ht="14.25" customHeight="1" x14ac:dyDescent="0.25">
      <c r="A2" s="23" t="s">
        <v>45</v>
      </c>
    </row>
    <row r="3" spans="1:22" ht="14.25" customHeight="1" x14ac:dyDescent="0.25">
      <c r="A3" s="23" t="s">
        <v>46</v>
      </c>
    </row>
    <row r="4" spans="1:22" ht="25.7" customHeight="1" x14ac:dyDescent="0.25">
      <c r="A4" s="24" t="s">
        <v>47</v>
      </c>
    </row>
    <row r="5" spans="1:22" ht="20.100000000000001" customHeight="1" x14ac:dyDescent="0.25">
      <c r="A5" s="24" t="s">
        <v>48</v>
      </c>
    </row>
    <row r="6" spans="1:22" ht="14.25" customHeight="1" x14ac:dyDescent="0.25">
      <c r="A6" s="25" t="s">
        <v>49</v>
      </c>
    </row>
    <row r="7" spans="1:22" ht="14.25" customHeight="1" x14ac:dyDescent="0.25">
      <c r="A7" s="23" t="s">
        <v>50</v>
      </c>
    </row>
    <row r="8" spans="1:22" ht="14.25" customHeight="1" x14ac:dyDescent="0.25">
      <c r="A8" s="23" t="s">
        <v>50</v>
      </c>
    </row>
    <row r="9" spans="1:22" ht="14.25" customHeight="1" x14ac:dyDescent="0.25">
      <c r="A9" s="23" t="s">
        <v>51</v>
      </c>
    </row>
    <row r="10" spans="1:22" ht="14.25" customHeight="1" x14ac:dyDescent="0.25">
      <c r="A10" s="23" t="s">
        <v>52</v>
      </c>
    </row>
    <row r="11" spans="1:22" ht="14.25" customHeight="1" x14ac:dyDescent="0.25">
      <c r="A11" s="23" t="s">
        <v>53</v>
      </c>
    </row>
    <row r="12" spans="1:22" ht="14.25" customHeight="1" x14ac:dyDescent="0.25">
      <c r="A12" s="23" t="s">
        <v>54</v>
      </c>
    </row>
    <row r="13" spans="1:22" ht="14.25" customHeight="1" x14ac:dyDescent="0.25">
      <c r="A13" s="23" t="s">
        <v>54</v>
      </c>
    </row>
    <row r="14" spans="1:22" ht="11.25" customHeight="1" x14ac:dyDescent="0.25">
      <c r="A14" s="171"/>
      <c r="B14" s="168" t="s">
        <v>55</v>
      </c>
      <c r="C14" s="169"/>
      <c r="D14" s="170"/>
      <c r="E14" s="168" t="s">
        <v>56</v>
      </c>
      <c r="F14" s="169"/>
      <c r="G14" s="170"/>
      <c r="H14" s="168" t="s">
        <v>57</v>
      </c>
      <c r="I14" s="169"/>
      <c r="J14" s="170"/>
      <c r="K14" s="168" t="s">
        <v>58</v>
      </c>
      <c r="L14" s="169"/>
      <c r="M14" s="170"/>
      <c r="N14" s="168" t="s">
        <v>59</v>
      </c>
      <c r="O14" s="169"/>
      <c r="P14" s="170"/>
      <c r="Q14" s="168" t="s">
        <v>60</v>
      </c>
      <c r="R14" s="169"/>
      <c r="S14" s="170"/>
      <c r="T14" s="168" t="s">
        <v>61</v>
      </c>
      <c r="U14" s="169"/>
      <c r="V14" s="170"/>
    </row>
    <row r="15" spans="1:22" ht="11.25" customHeight="1" x14ac:dyDescent="0.25">
      <c r="A15" s="172"/>
      <c r="B15" s="26" t="s">
        <v>62</v>
      </c>
      <c r="C15" s="27" t="s">
        <v>63</v>
      </c>
      <c r="D15" s="27" t="s">
        <v>64</v>
      </c>
      <c r="E15" s="26" t="s">
        <v>62</v>
      </c>
      <c r="F15" s="27" t="s">
        <v>63</v>
      </c>
      <c r="G15" s="27" t="s">
        <v>64</v>
      </c>
      <c r="H15" s="26" t="s">
        <v>62</v>
      </c>
      <c r="I15" s="27" t="s">
        <v>63</v>
      </c>
      <c r="J15" s="27" t="s">
        <v>64</v>
      </c>
      <c r="K15" s="28" t="s">
        <v>62</v>
      </c>
      <c r="L15" s="27" t="s">
        <v>63</v>
      </c>
      <c r="M15" s="27" t="s">
        <v>64</v>
      </c>
      <c r="N15" s="26" t="s">
        <v>62</v>
      </c>
      <c r="O15" s="27" t="s">
        <v>63</v>
      </c>
      <c r="P15" s="27" t="s">
        <v>64</v>
      </c>
      <c r="Q15" s="26" t="s">
        <v>62</v>
      </c>
      <c r="R15" s="27" t="s">
        <v>63</v>
      </c>
      <c r="S15" s="27" t="s">
        <v>64</v>
      </c>
      <c r="T15" s="26" t="s">
        <v>62</v>
      </c>
      <c r="U15" s="27" t="s">
        <v>63</v>
      </c>
      <c r="V15" s="27" t="s">
        <v>64</v>
      </c>
    </row>
    <row r="16" spans="1:22" ht="11.25" customHeight="1" x14ac:dyDescent="0.25">
      <c r="A16" s="27" t="s">
        <v>65</v>
      </c>
      <c r="B16" s="29"/>
      <c r="C16" s="29"/>
      <c r="D16" s="29"/>
      <c r="E16" s="29"/>
      <c r="F16" s="29"/>
      <c r="G16" s="29"/>
      <c r="H16" s="30">
        <v>14</v>
      </c>
      <c r="I16" s="30">
        <v>14</v>
      </c>
      <c r="J16" s="29"/>
      <c r="K16" s="30">
        <v>13</v>
      </c>
      <c r="L16" s="30">
        <v>13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1.25" customHeight="1" x14ac:dyDescent="0.25">
      <c r="A17" s="27" t="s">
        <v>66</v>
      </c>
      <c r="B17" s="29"/>
      <c r="C17" s="29"/>
      <c r="D17" s="29"/>
      <c r="E17" s="29"/>
      <c r="F17" s="29"/>
      <c r="G17" s="29"/>
      <c r="H17" s="30">
        <v>9</v>
      </c>
      <c r="I17" s="30">
        <v>9</v>
      </c>
      <c r="J17" s="29"/>
      <c r="K17" s="30">
        <v>16</v>
      </c>
      <c r="L17" s="30">
        <v>16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1.25" customHeight="1" x14ac:dyDescent="0.25">
      <c r="A18" s="27" t="s">
        <v>67</v>
      </c>
      <c r="B18" s="29"/>
      <c r="C18" s="29"/>
      <c r="D18" s="29"/>
      <c r="E18" s="29"/>
      <c r="F18" s="29"/>
      <c r="G18" s="29"/>
      <c r="H18" s="30">
        <v>18</v>
      </c>
      <c r="I18" s="30">
        <v>18</v>
      </c>
      <c r="J18" s="29"/>
      <c r="K18" s="30">
        <v>13</v>
      </c>
      <c r="L18" s="30">
        <v>13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1.25" customHeight="1" x14ac:dyDescent="0.25">
      <c r="A19" s="27" t="s">
        <v>68</v>
      </c>
      <c r="B19" s="29"/>
      <c r="C19" s="29"/>
      <c r="D19" s="29"/>
      <c r="E19" s="29"/>
      <c r="F19" s="29"/>
      <c r="G19" s="29"/>
      <c r="H19" s="30">
        <v>10</v>
      </c>
      <c r="I19" s="30">
        <v>10</v>
      </c>
      <c r="J19" s="29"/>
      <c r="K19" s="30">
        <v>17</v>
      </c>
      <c r="L19" s="30">
        <v>17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1.25" customHeight="1" x14ac:dyDescent="0.25">
      <c r="A20" s="27" t="s">
        <v>69</v>
      </c>
      <c r="B20" s="29"/>
      <c r="C20" s="29"/>
      <c r="D20" s="29"/>
      <c r="E20" s="29"/>
      <c r="F20" s="29"/>
      <c r="G20" s="29"/>
      <c r="H20" s="30">
        <v>23</v>
      </c>
      <c r="I20" s="30">
        <v>23</v>
      </c>
      <c r="J20" s="29"/>
      <c r="K20" s="30">
        <v>15</v>
      </c>
      <c r="L20" s="30">
        <v>15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1.25" customHeight="1" x14ac:dyDescent="0.25">
      <c r="A21" s="27" t="s">
        <v>70</v>
      </c>
      <c r="B21" s="29"/>
      <c r="C21" s="29"/>
      <c r="D21" s="29"/>
      <c r="E21" s="29"/>
      <c r="F21" s="29"/>
      <c r="G21" s="29"/>
      <c r="H21" s="30">
        <v>34</v>
      </c>
      <c r="I21" s="30">
        <v>34</v>
      </c>
      <c r="J21" s="29"/>
      <c r="K21" s="30">
        <v>32</v>
      </c>
      <c r="L21" s="30">
        <v>32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1.25" customHeight="1" x14ac:dyDescent="0.25">
      <c r="A22" s="27" t="s">
        <v>71</v>
      </c>
      <c r="B22" s="29"/>
      <c r="C22" s="29"/>
      <c r="D22" s="29"/>
      <c r="E22" s="29"/>
      <c r="F22" s="29"/>
      <c r="G22" s="29"/>
      <c r="H22" s="30">
        <v>77</v>
      </c>
      <c r="I22" s="30">
        <v>77</v>
      </c>
      <c r="J22" s="29"/>
      <c r="K22" s="30">
        <v>67</v>
      </c>
      <c r="L22" s="30">
        <v>67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1.25" customHeight="1" x14ac:dyDescent="0.25">
      <c r="A23" s="27" t="s">
        <v>72</v>
      </c>
      <c r="B23" s="29"/>
      <c r="C23" s="29"/>
      <c r="D23" s="29"/>
      <c r="E23" s="29"/>
      <c r="F23" s="29"/>
      <c r="G23" s="29"/>
      <c r="H23" s="30">
        <v>98</v>
      </c>
      <c r="I23" s="30">
        <v>98</v>
      </c>
      <c r="J23" s="29"/>
      <c r="K23" s="30">
        <v>88</v>
      </c>
      <c r="L23" s="30">
        <v>88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1.25" customHeight="1" x14ac:dyDescent="0.25">
      <c r="A24" s="27" t="s">
        <v>73</v>
      </c>
      <c r="B24" s="29"/>
      <c r="C24" s="29"/>
      <c r="D24" s="29"/>
      <c r="E24" s="29"/>
      <c r="F24" s="29"/>
      <c r="G24" s="29"/>
      <c r="H24" s="30">
        <v>99</v>
      </c>
      <c r="I24" s="30">
        <v>99</v>
      </c>
      <c r="J24" s="29"/>
      <c r="K24" s="30">
        <v>116</v>
      </c>
      <c r="L24" s="30">
        <v>116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1.25" customHeight="1" x14ac:dyDescent="0.25">
      <c r="A25" s="27" t="s">
        <v>74</v>
      </c>
      <c r="B25" s="29"/>
      <c r="C25" s="29"/>
      <c r="D25" s="29"/>
      <c r="E25" s="29"/>
      <c r="F25" s="29"/>
      <c r="G25" s="29"/>
      <c r="H25" s="30">
        <v>107</v>
      </c>
      <c r="I25" s="30">
        <v>107</v>
      </c>
      <c r="J25" s="29"/>
      <c r="K25" s="30">
        <v>99</v>
      </c>
      <c r="L25" s="30">
        <v>99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1.25" customHeight="1" x14ac:dyDescent="0.25">
      <c r="A26" s="27" t="s">
        <v>75</v>
      </c>
      <c r="B26" s="29"/>
      <c r="C26" s="29"/>
      <c r="D26" s="29"/>
      <c r="E26" s="30">
        <v>107</v>
      </c>
      <c r="F26" s="30">
        <v>107</v>
      </c>
      <c r="G26" s="29"/>
      <c r="H26" s="30">
        <v>84</v>
      </c>
      <c r="I26" s="30">
        <v>84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1.25" customHeight="1" x14ac:dyDescent="0.25">
      <c r="A27" s="27" t="s">
        <v>76</v>
      </c>
      <c r="B27" s="29"/>
      <c r="C27" s="29"/>
      <c r="D27" s="29"/>
      <c r="E27" s="30">
        <v>133</v>
      </c>
      <c r="F27" s="30">
        <v>133</v>
      </c>
      <c r="G27" s="29"/>
      <c r="H27" s="30">
        <v>137</v>
      </c>
      <c r="I27" s="30">
        <v>137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1.25" customHeight="1" x14ac:dyDescent="0.25">
      <c r="A28" s="27" t="s">
        <v>77</v>
      </c>
      <c r="B28" s="29"/>
      <c r="C28" s="29"/>
      <c r="D28" s="29"/>
      <c r="E28" s="30">
        <v>134</v>
      </c>
      <c r="F28" s="30">
        <v>134</v>
      </c>
      <c r="G28" s="29"/>
      <c r="H28" s="30">
        <v>146</v>
      </c>
      <c r="I28" s="30">
        <v>146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1.25" customHeight="1" x14ac:dyDescent="0.25">
      <c r="A29" s="27" t="s">
        <v>78</v>
      </c>
      <c r="B29" s="29"/>
      <c r="C29" s="29"/>
      <c r="D29" s="29"/>
      <c r="E29" s="30">
        <v>169</v>
      </c>
      <c r="F29" s="30">
        <v>169</v>
      </c>
      <c r="G29" s="29"/>
      <c r="H29" s="30">
        <v>155</v>
      </c>
      <c r="I29" s="30">
        <v>155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1.25" customHeight="1" x14ac:dyDescent="0.25">
      <c r="A30" s="27" t="s">
        <v>79</v>
      </c>
      <c r="B30" s="29"/>
      <c r="C30" s="29"/>
      <c r="D30" s="29"/>
      <c r="E30" s="30">
        <v>159</v>
      </c>
      <c r="F30" s="30">
        <v>159</v>
      </c>
      <c r="G30" s="29"/>
      <c r="H30" s="30">
        <v>161</v>
      </c>
      <c r="I30" s="30">
        <v>161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1.25" customHeight="1" x14ac:dyDescent="0.25">
      <c r="A31" s="27" t="s">
        <v>80</v>
      </c>
      <c r="B31" s="29"/>
      <c r="C31" s="29"/>
      <c r="D31" s="29"/>
      <c r="E31" s="30">
        <v>156</v>
      </c>
      <c r="F31" s="30">
        <v>156</v>
      </c>
      <c r="G31" s="29"/>
      <c r="H31" s="30">
        <v>177</v>
      </c>
      <c r="I31" s="30">
        <v>177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1.25" customHeight="1" x14ac:dyDescent="0.25">
      <c r="A32" s="27" t="s">
        <v>81</v>
      </c>
      <c r="B32" s="29"/>
      <c r="C32" s="29"/>
      <c r="D32" s="29"/>
      <c r="E32" s="30">
        <v>209</v>
      </c>
      <c r="F32" s="30">
        <v>209</v>
      </c>
      <c r="G32" s="29"/>
      <c r="H32" s="30">
        <v>239</v>
      </c>
      <c r="I32" s="30">
        <v>239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1.25" customHeight="1" x14ac:dyDescent="0.25">
      <c r="A33" s="27" t="s">
        <v>82</v>
      </c>
      <c r="B33" s="29"/>
      <c r="C33" s="29"/>
      <c r="D33" s="29"/>
      <c r="E33" s="30">
        <v>240</v>
      </c>
      <c r="F33" s="30">
        <v>240</v>
      </c>
      <c r="G33" s="29"/>
      <c r="H33" s="30">
        <v>195</v>
      </c>
      <c r="I33" s="30">
        <v>195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1.25" customHeight="1" x14ac:dyDescent="0.25">
      <c r="A34" s="27" t="s">
        <v>83</v>
      </c>
      <c r="B34" s="29"/>
      <c r="C34" s="29"/>
      <c r="D34" s="29"/>
      <c r="E34" s="30">
        <v>145</v>
      </c>
      <c r="F34" s="30">
        <v>145</v>
      </c>
      <c r="G34" s="29"/>
      <c r="H34" s="30">
        <v>152</v>
      </c>
      <c r="I34" s="30">
        <v>152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5">
      <c r="A35" s="27" t="s">
        <v>84</v>
      </c>
      <c r="B35" s="29"/>
      <c r="C35" s="29"/>
      <c r="D35" s="29"/>
      <c r="E35" s="30">
        <v>131</v>
      </c>
      <c r="F35" s="30">
        <v>131</v>
      </c>
      <c r="G35" s="29"/>
      <c r="H35" s="30">
        <v>142</v>
      </c>
      <c r="I35" s="30">
        <v>142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1.25" customHeight="1" x14ac:dyDescent="0.25">
      <c r="A36" s="27" t="s">
        <v>85</v>
      </c>
      <c r="B36" s="29"/>
      <c r="C36" s="29"/>
      <c r="D36" s="29"/>
      <c r="E36" s="30">
        <v>126</v>
      </c>
      <c r="F36" s="30">
        <v>126</v>
      </c>
      <c r="G36" s="29"/>
      <c r="H36" s="30">
        <v>102</v>
      </c>
      <c r="I36" s="30">
        <v>102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1.25" customHeight="1" x14ac:dyDescent="0.25">
      <c r="A37" s="27" t="s">
        <v>86</v>
      </c>
      <c r="B37" s="29"/>
      <c r="C37" s="29"/>
      <c r="D37" s="29"/>
      <c r="E37" s="30">
        <v>53</v>
      </c>
      <c r="F37" s="30">
        <v>53</v>
      </c>
      <c r="G37" s="29"/>
      <c r="H37" s="30">
        <v>44</v>
      </c>
      <c r="I37" s="30">
        <v>44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1.25" customHeight="1" x14ac:dyDescent="0.25">
      <c r="A38" s="27" t="s">
        <v>87</v>
      </c>
      <c r="B38" s="29"/>
      <c r="C38" s="29"/>
      <c r="D38" s="29"/>
      <c r="E38" s="30">
        <v>30</v>
      </c>
      <c r="F38" s="30">
        <v>30</v>
      </c>
      <c r="G38" s="29"/>
      <c r="H38" s="30">
        <v>50</v>
      </c>
      <c r="I38" s="30">
        <v>50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1.25" customHeight="1" x14ac:dyDescent="0.25">
      <c r="A39" s="27" t="s">
        <v>88</v>
      </c>
      <c r="B39" s="29"/>
      <c r="C39" s="29"/>
      <c r="D39" s="29"/>
      <c r="E39" s="30">
        <v>14</v>
      </c>
      <c r="F39" s="30">
        <v>14</v>
      </c>
      <c r="G39" s="29"/>
      <c r="H39" s="30">
        <v>17</v>
      </c>
      <c r="I39" s="30">
        <v>17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1.25" customHeight="1" x14ac:dyDescent="0.25">
      <c r="A40" s="27" t="s">
        <v>89</v>
      </c>
      <c r="B40" s="29"/>
      <c r="C40" s="29"/>
      <c r="D40" s="29"/>
      <c r="E40" s="31">
        <v>1806</v>
      </c>
      <c r="F40" s="31">
        <v>1806</v>
      </c>
      <c r="G40" s="29"/>
      <c r="H40" s="31">
        <v>2290</v>
      </c>
      <c r="I40" s="31">
        <v>2290</v>
      </c>
      <c r="J40" s="29"/>
      <c r="K40" s="30">
        <v>476</v>
      </c>
      <c r="L40" s="30">
        <v>476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1.25" customHeight="1" x14ac:dyDescent="0.25">
      <c r="A41" s="32" t="s">
        <v>90</v>
      </c>
      <c r="B41" s="29"/>
      <c r="C41" s="29"/>
      <c r="D41" s="29"/>
      <c r="E41" s="29"/>
      <c r="F41" s="29"/>
      <c r="G41" s="29"/>
      <c r="H41" s="30">
        <v>137</v>
      </c>
      <c r="I41" s="30">
        <v>137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5">
      <c r="A42" s="32" t="s">
        <v>91</v>
      </c>
      <c r="B42" s="29"/>
      <c r="C42" s="29"/>
      <c r="D42" s="29"/>
      <c r="E42" s="29"/>
      <c r="F42" s="29"/>
      <c r="G42" s="29"/>
      <c r="H42" s="33">
        <v>0.84</v>
      </c>
      <c r="I42" s="33">
        <v>0.84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1.25" customHeight="1" x14ac:dyDescent="0.25">
      <c r="A43" s="32" t="s">
        <v>92</v>
      </c>
      <c r="B43" s="29"/>
      <c r="C43" s="29"/>
      <c r="D43" s="29"/>
      <c r="E43" s="29"/>
      <c r="F43" s="29"/>
      <c r="G43" s="29"/>
      <c r="H43" s="34" t="s">
        <v>93</v>
      </c>
      <c r="I43" s="34" t="s">
        <v>93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1.25" customHeight="1" x14ac:dyDescent="0.25">
      <c r="A44" s="32" t="s">
        <v>94</v>
      </c>
      <c r="B44" s="29"/>
      <c r="C44" s="29"/>
      <c r="D44" s="29"/>
      <c r="E44" s="30">
        <v>253</v>
      </c>
      <c r="F44" s="30">
        <v>253</v>
      </c>
      <c r="G44" s="29"/>
      <c r="H44" s="30">
        <v>260</v>
      </c>
      <c r="I44" s="30">
        <v>260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1.25" customHeight="1" x14ac:dyDescent="0.25">
      <c r="A45" s="32" t="s">
        <v>95</v>
      </c>
      <c r="B45" s="29"/>
      <c r="C45" s="29"/>
      <c r="D45" s="29"/>
      <c r="E45" s="33">
        <v>0.84</v>
      </c>
      <c r="F45" s="33">
        <v>0.84</v>
      </c>
      <c r="G45" s="29"/>
      <c r="H45" s="33">
        <v>0.84</v>
      </c>
      <c r="I45" s="33">
        <v>0.84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1.25" customHeight="1" x14ac:dyDescent="0.25">
      <c r="A46" s="32" t="s">
        <v>96</v>
      </c>
      <c r="B46" s="29"/>
      <c r="C46" s="29"/>
      <c r="D46" s="29"/>
      <c r="E46" s="34" t="s">
        <v>97</v>
      </c>
      <c r="F46" s="34" t="s">
        <v>97</v>
      </c>
      <c r="G46" s="29"/>
      <c r="H46" s="34" t="s">
        <v>98</v>
      </c>
      <c r="I46" s="34" t="s">
        <v>98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1.25" customHeight="1" x14ac:dyDescent="0.25">
      <c r="A47" s="32" t="s">
        <v>99</v>
      </c>
      <c r="B47" s="29"/>
      <c r="C47" s="29"/>
      <c r="D47" s="29"/>
      <c r="E47" s="35">
        <v>0.97599999999999998</v>
      </c>
      <c r="F47" s="35">
        <v>0.97599999999999998</v>
      </c>
      <c r="G47" s="29"/>
      <c r="H47" s="35">
        <v>0.97599999999999998</v>
      </c>
      <c r="I47" s="35">
        <v>0.97599999999999998</v>
      </c>
      <c r="J47" s="29"/>
      <c r="K47" s="35">
        <v>0.97599999999999998</v>
      </c>
      <c r="L47" s="35">
        <v>0.97599999999999998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1.25" customHeight="1" x14ac:dyDescent="0.25">
      <c r="A48" s="32" t="s">
        <v>100</v>
      </c>
      <c r="B48" s="29"/>
      <c r="C48" s="29"/>
      <c r="D48" s="29"/>
      <c r="E48" s="35">
        <v>0.96599999999999997</v>
      </c>
      <c r="F48" s="35">
        <v>0.96599999999999997</v>
      </c>
      <c r="G48" s="29"/>
      <c r="H48" s="35">
        <v>0.93200000000000005</v>
      </c>
      <c r="I48" s="35">
        <v>0.93200000000000005</v>
      </c>
      <c r="J48" s="29"/>
      <c r="K48" s="35">
        <v>0.93300000000000005</v>
      </c>
      <c r="L48" s="35">
        <v>0.93300000000000005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1.25" customHeight="1" x14ac:dyDescent="0.25">
      <c r="A49" s="32" t="s">
        <v>101</v>
      </c>
      <c r="B49" s="29"/>
      <c r="C49" s="29"/>
      <c r="D49" s="29"/>
      <c r="E49" s="35">
        <v>0.47</v>
      </c>
      <c r="F49" s="35">
        <v>0.47</v>
      </c>
      <c r="G49" s="29"/>
      <c r="H49" s="35">
        <v>0.47</v>
      </c>
      <c r="I49" s="35">
        <v>0.47</v>
      </c>
      <c r="J49" s="29"/>
      <c r="K49" s="35">
        <v>0.47</v>
      </c>
      <c r="L49" s="35">
        <v>0.47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1.25" customHeight="1" x14ac:dyDescent="0.25">
      <c r="A50" s="32" t="s">
        <v>102</v>
      </c>
      <c r="B50" s="29"/>
      <c r="C50" s="29"/>
      <c r="D50" s="29"/>
      <c r="E50" s="35">
        <v>2</v>
      </c>
      <c r="F50" s="35">
        <v>2</v>
      </c>
      <c r="G50" s="29"/>
      <c r="H50" s="35">
        <v>2</v>
      </c>
      <c r="I50" s="35">
        <v>2</v>
      </c>
      <c r="J50" s="29"/>
      <c r="K50" s="35">
        <v>2</v>
      </c>
      <c r="L50" s="35">
        <v>2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4.25" customHeight="1" x14ac:dyDescent="0.25">
      <c r="A51" s="23" t="s">
        <v>103</v>
      </c>
    </row>
    <row r="52" spans="1:22" ht="11.45" customHeight="1" x14ac:dyDescent="0.25">
      <c r="A52" s="36" t="s">
        <v>104</v>
      </c>
    </row>
    <row r="53" spans="1:22" ht="11.45" customHeight="1" x14ac:dyDescent="0.25">
      <c r="A53" s="24" t="s">
        <v>105</v>
      </c>
    </row>
    <row r="54" spans="1:22" ht="11.45" customHeight="1" x14ac:dyDescent="0.25">
      <c r="A54" s="36" t="s">
        <v>106</v>
      </c>
    </row>
    <row r="55" spans="1:22" ht="11.45" customHeight="1" x14ac:dyDescent="0.25">
      <c r="A55" s="36" t="s">
        <v>107</v>
      </c>
    </row>
  </sheetData>
  <mergeCells count="8">
    <mergeCell ref="Q14:S14"/>
    <mergeCell ref="T14:V14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Rate Calculations &amp; PHF</vt:lpstr>
      <vt:lpstr>FREEVAL INPUT 2017 Hourly</vt:lpstr>
      <vt:lpstr>FREEVAL INPUT 2020 Hourly</vt:lpstr>
      <vt:lpstr>FREEVAL INPUT 2023 Hourly</vt:lpstr>
      <vt:lpstr>FREEVAL INPUT 2045 Hourly</vt:lpstr>
      <vt:lpstr>FREEVAL INPUT 2020 15-Minute</vt:lpstr>
      <vt:lpstr>FREEVAL INPUT 2023 15-Minut</vt:lpstr>
      <vt:lpstr>FREEVAL INPUT 2045 15-Minute</vt:lpstr>
      <vt:lpstr>019-010295-3</vt:lpstr>
      <vt:lpstr>019-010154-3</vt:lpstr>
      <vt:lpstr>019-010155-3</vt:lpstr>
      <vt:lpstr>019-009882-1</vt:lpstr>
      <vt:lpstr>019-009790-2</vt:lpstr>
      <vt:lpstr>019-009733-2</vt:lpstr>
      <vt:lpstr>019-009732-4</vt:lpstr>
      <vt:lpstr>019-000592-1</vt:lpstr>
      <vt:lpstr>019-000591-1</vt:lpstr>
      <vt:lpstr>019-000590-3</vt:lpstr>
      <vt:lpstr>019-000589-3</vt:lpstr>
      <vt:lpstr>019-000177-3</vt:lpstr>
      <vt:lpstr>019-000177-1</vt:lpstr>
      <vt:lpstr>019-010398-2</vt:lpstr>
    </vt:vector>
  </TitlesOfParts>
  <Company>HDR,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McHenry, Taylor</dc:creator>
  <cp:lastModifiedBy>McHenry, Taylor</cp:lastModifiedBy>
  <dcterms:created xsi:type="dcterms:W3CDTF">2020-04-28T13:43:24Z</dcterms:created>
  <dcterms:modified xsi:type="dcterms:W3CDTF">2020-05-13T21:19:06Z</dcterms:modified>
</cp:coreProperties>
</file>